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/>
  <bookViews>
    <workbookView xWindow="3975" yWindow="1005" windowWidth="15480" windowHeight="9120" tabRatio="839" firstSheet="2" activeTab="3"/>
  </bookViews>
  <sheets>
    <sheet name="READ THIS FIRST " sheetId="20" r:id="rId1"/>
    <sheet name="IS-BS Model" sheetId="26" r:id="rId2"/>
    <sheet name="Flow Diagram" sheetId="18" r:id="rId3"/>
    <sheet name="Q1-FCF Valuation" sheetId="29" r:id="rId4"/>
    <sheet name="Q2-MM Valuation" sheetId="32" r:id="rId5"/>
    <sheet name="A1 Q1 SOLUTION" sheetId="38" r:id="rId6"/>
    <sheet name="A1 Q2 SOLUTION" sheetId="39" r:id="rId7"/>
    <sheet name="A2 Q1 SOLUTION" sheetId="40" r:id="rId8"/>
    <sheet name="A2 Q2 SOLUTION" sheetId="41" r:id="rId9"/>
    <sheet name="Optional Long Form" sheetId="24" state="hidden" r:id="rId10"/>
  </sheets>
  <definedNames>
    <definedName name="ANNFV" localSheetId="5">#REF!</definedName>
    <definedName name="ANNFV" localSheetId="6">#REF!</definedName>
    <definedName name="ANNFV" localSheetId="7">#REF!</definedName>
    <definedName name="ANNFV" localSheetId="8">#REF!</definedName>
    <definedName name="ANNFV" localSheetId="1">#REF!</definedName>
    <definedName name="ANNFV" localSheetId="9">#REF!</definedName>
    <definedName name="ANNFV" localSheetId="3">#REF!</definedName>
    <definedName name="ANNFV" localSheetId="0">#REF!</definedName>
    <definedName name="ANNFV">#REF!</definedName>
    <definedName name="ANNPV" localSheetId="5">#REF!</definedName>
    <definedName name="ANNPV" localSheetId="6">#REF!</definedName>
    <definedName name="ANNPV" localSheetId="7">#REF!</definedName>
    <definedName name="ANNPV" localSheetId="8">#REF!</definedName>
    <definedName name="ANNPV" localSheetId="1">#REF!</definedName>
    <definedName name="ANNPV" localSheetId="9">#REF!</definedName>
    <definedName name="ANNPV" localSheetId="0">#REF!</definedName>
    <definedName name="ANNPV">#REF!</definedName>
    <definedName name="AUTOMATE" localSheetId="5">#REF!</definedName>
    <definedName name="AUTOMATE" localSheetId="6">#REF!</definedName>
    <definedName name="AUTOMATE" localSheetId="7">#REF!</definedName>
    <definedName name="AUTOMATE" localSheetId="8">#REF!</definedName>
    <definedName name="AUTOMATE" localSheetId="1">#REF!</definedName>
    <definedName name="AUTOMATE" localSheetId="9">#REF!</definedName>
    <definedName name="AUTOMATE" localSheetId="0">#REF!</definedName>
    <definedName name="AUTOMATE">#REF!</definedName>
    <definedName name="FVLUMP" localSheetId="6">#N/A</definedName>
    <definedName name="FVLUMP" localSheetId="9">#N/A</definedName>
    <definedName name="FVLUMP">#N/A</definedName>
    <definedName name="PVLUMP" localSheetId="6">#N/A</definedName>
    <definedName name="PVLUMP" localSheetId="9">#N/A</definedName>
    <definedName name="PVLUMP">#N/A</definedName>
    <definedName name="xxx" localSheetId="8">#REF!</definedName>
    <definedName name="xxx" localSheetId="1">#REF!</definedName>
    <definedName name="xxx" localSheetId="3">#REF!</definedName>
    <definedName name="xxx">#REF!</definedName>
    <definedName name="xxxxxx" localSheetId="8">#REF!</definedName>
    <definedName name="xxxxxx" localSheetId="1">#REF!</definedName>
    <definedName name="xxxxxx">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29" l="1"/>
  <c r="G20" i="29"/>
  <c r="G21" i="29"/>
  <c r="G22" i="29"/>
  <c r="G23" i="29"/>
  <c r="G24" i="29"/>
  <c r="G25" i="29"/>
  <c r="G26" i="29"/>
  <c r="B11" i="32"/>
  <c r="B20" i="32"/>
  <c r="G5" i="32"/>
  <c r="C20" i="32"/>
  <c r="D20" i="32"/>
  <c r="E20" i="32"/>
  <c r="B28" i="32"/>
  <c r="B21" i="32"/>
  <c r="G6" i="32"/>
  <c r="C21" i="32"/>
  <c r="D21" i="32"/>
  <c r="E21" i="32"/>
  <c r="B29" i="32"/>
  <c r="B22" i="32"/>
  <c r="G7" i="32"/>
  <c r="C22" i="32"/>
  <c r="D22" i="32"/>
  <c r="E22" i="32"/>
  <c r="B30" i="32"/>
  <c r="B19" i="32"/>
  <c r="G4" i="32"/>
  <c r="C19" i="32"/>
  <c r="D19" i="32"/>
  <c r="E19" i="32"/>
  <c r="B27" i="32"/>
  <c r="C73" i="29"/>
  <c r="D47" i="29"/>
  <c r="D59" i="29"/>
  <c r="D60" i="29"/>
  <c r="D61" i="29"/>
  <c r="D49" i="29"/>
  <c r="C49" i="29"/>
  <c r="D62" i="29"/>
  <c r="D63" i="29"/>
  <c r="D64" i="29"/>
  <c r="D66" i="29"/>
  <c r="E47" i="29"/>
  <c r="E59" i="29"/>
  <c r="E60" i="29"/>
  <c r="E61" i="29"/>
  <c r="E49" i="29"/>
  <c r="E62" i="29"/>
  <c r="E63" i="29"/>
  <c r="E64" i="29"/>
  <c r="E66" i="29"/>
  <c r="F47" i="29"/>
  <c r="F59" i="29"/>
  <c r="F60" i="29"/>
  <c r="F61" i="29"/>
  <c r="F49" i="29"/>
  <c r="F62" i="29"/>
  <c r="F63" i="29"/>
  <c r="F64" i="29"/>
  <c r="F66" i="29"/>
  <c r="G47" i="29"/>
  <c r="G59" i="29"/>
  <c r="G60" i="29"/>
  <c r="G61" i="29"/>
  <c r="G49" i="29"/>
  <c r="G62" i="29"/>
  <c r="G63" i="29"/>
  <c r="G64" i="29"/>
  <c r="G65" i="29"/>
  <c r="G66" i="29"/>
  <c r="C59" i="29"/>
  <c r="C60" i="29"/>
  <c r="C61" i="29"/>
  <c r="B49" i="29"/>
  <c r="C62" i="29"/>
  <c r="C63" i="29"/>
  <c r="C64" i="29"/>
  <c r="C66" i="29"/>
  <c r="D19" i="29"/>
  <c r="E19" i="29"/>
  <c r="F19" i="29"/>
  <c r="C19" i="29"/>
  <c r="C20" i="29"/>
  <c r="C21" i="29"/>
  <c r="C22" i="29"/>
  <c r="C23" i="29"/>
  <c r="C24" i="29"/>
  <c r="C26" i="29"/>
  <c r="D20" i="29"/>
  <c r="D21" i="29"/>
  <c r="D22" i="29"/>
  <c r="D23" i="29"/>
  <c r="D24" i="29"/>
  <c r="D26" i="29"/>
  <c r="E20" i="29"/>
  <c r="E21" i="29"/>
  <c r="E22" i="29"/>
  <c r="E23" i="29"/>
  <c r="E24" i="29"/>
  <c r="E26" i="29"/>
  <c r="F20" i="29"/>
  <c r="F21" i="29"/>
  <c r="F22" i="29"/>
  <c r="F23" i="29"/>
  <c r="F24" i="29"/>
  <c r="F26" i="29"/>
  <c r="B28" i="29"/>
  <c r="B29" i="29"/>
  <c r="B30" i="29"/>
  <c r="B32" i="29"/>
  <c r="B34" i="29"/>
  <c r="I12" i="24"/>
  <c r="F5" i="24"/>
  <c r="E5" i="24"/>
  <c r="D5" i="24"/>
  <c r="C5" i="24"/>
  <c r="B5" i="24"/>
  <c r="I5" i="24"/>
  <c r="J5" i="24"/>
  <c r="K5" i="24"/>
  <c r="L5" i="24"/>
  <c r="M5" i="24"/>
  <c r="N5" i="24"/>
  <c r="O5" i="24"/>
  <c r="P5" i="24"/>
  <c r="Q5" i="24"/>
  <c r="R5" i="24"/>
  <c r="F6" i="24"/>
  <c r="E6" i="24"/>
  <c r="D6" i="24"/>
  <c r="C6" i="24"/>
  <c r="B6" i="24"/>
  <c r="I6" i="24"/>
  <c r="J6" i="24"/>
  <c r="K6" i="24"/>
  <c r="L6" i="24"/>
  <c r="M6" i="24"/>
  <c r="N6" i="24"/>
  <c r="O6" i="24"/>
  <c r="P6" i="24"/>
  <c r="Q6" i="24"/>
  <c r="R6" i="24"/>
  <c r="N8" i="24"/>
  <c r="O8" i="24"/>
  <c r="P8" i="24"/>
  <c r="Q8" i="24"/>
  <c r="R8" i="24"/>
  <c r="N9" i="24"/>
  <c r="O9" i="24"/>
  <c r="P9" i="24"/>
  <c r="Q9" i="24"/>
  <c r="R9" i="24"/>
  <c r="B10" i="24"/>
  <c r="C10" i="24"/>
  <c r="D10" i="24"/>
  <c r="E10" i="24"/>
  <c r="F10" i="24"/>
  <c r="G10" i="24"/>
  <c r="N10" i="24"/>
  <c r="O10" i="24"/>
  <c r="P10" i="24"/>
  <c r="Q10" i="24"/>
  <c r="R10" i="24"/>
  <c r="N11" i="24"/>
  <c r="O11" i="24"/>
  <c r="P11" i="24"/>
  <c r="Q11" i="24"/>
  <c r="R11" i="24"/>
  <c r="N12" i="24"/>
  <c r="O12" i="24"/>
  <c r="P12" i="24"/>
  <c r="Q12" i="24"/>
  <c r="R12" i="24"/>
  <c r="I13" i="24"/>
  <c r="N13" i="24"/>
  <c r="O13" i="24"/>
  <c r="P13" i="24"/>
  <c r="Q13" i="24"/>
  <c r="R13" i="24"/>
  <c r="N54" i="24"/>
  <c r="N14" i="24"/>
  <c r="O54" i="24"/>
  <c r="O14" i="24"/>
  <c r="P54" i="24"/>
  <c r="P14" i="24"/>
  <c r="Q54" i="24"/>
  <c r="Q14" i="24"/>
  <c r="R54" i="24"/>
  <c r="R14" i="24"/>
  <c r="I15" i="24"/>
  <c r="N15" i="24"/>
  <c r="O15" i="24"/>
  <c r="P15" i="24"/>
  <c r="Q15" i="24"/>
  <c r="R15" i="24"/>
  <c r="N16" i="24"/>
  <c r="O16" i="24"/>
  <c r="P16" i="24"/>
  <c r="Q16" i="24"/>
  <c r="R16" i="24"/>
  <c r="B17" i="24"/>
  <c r="C17" i="24"/>
  <c r="D17" i="24"/>
  <c r="E17" i="24"/>
  <c r="F17" i="24"/>
  <c r="G17" i="24"/>
  <c r="N17" i="24"/>
  <c r="O17" i="24"/>
  <c r="P17" i="24"/>
  <c r="Q17" i="24"/>
  <c r="R17" i="24"/>
  <c r="B18" i="24"/>
  <c r="C18" i="24"/>
  <c r="D18" i="24"/>
  <c r="E18" i="24"/>
  <c r="F18" i="24"/>
  <c r="G18" i="24"/>
  <c r="N18" i="24"/>
  <c r="O18" i="24"/>
  <c r="P18" i="24"/>
  <c r="Q18" i="24"/>
  <c r="R18" i="24"/>
  <c r="O19" i="24"/>
  <c r="P19" i="24"/>
  <c r="Q19" i="24"/>
  <c r="R19" i="24"/>
  <c r="N20" i="24"/>
  <c r="O20" i="24"/>
  <c r="P20" i="24"/>
  <c r="Q20" i="24"/>
  <c r="R20" i="24"/>
  <c r="N21" i="24"/>
  <c r="O21" i="24"/>
  <c r="P21" i="24"/>
  <c r="Q21" i="24"/>
  <c r="R21" i="24"/>
  <c r="B22" i="24"/>
  <c r="C22" i="24"/>
  <c r="D22" i="24"/>
  <c r="E22" i="24"/>
  <c r="F22" i="24"/>
  <c r="G22" i="24"/>
  <c r="N22" i="24"/>
  <c r="O22" i="24"/>
  <c r="P22" i="24"/>
  <c r="Q22" i="24"/>
  <c r="R22" i="24"/>
  <c r="I23" i="24"/>
  <c r="J23" i="24"/>
  <c r="K23" i="24"/>
  <c r="L23" i="24"/>
  <c r="M23" i="24"/>
  <c r="N23" i="24"/>
  <c r="O23" i="24"/>
  <c r="P23" i="24"/>
  <c r="Q23" i="24"/>
  <c r="R23" i="24"/>
  <c r="B24" i="24"/>
  <c r="C24" i="24"/>
  <c r="D24" i="24"/>
  <c r="E24" i="24"/>
  <c r="F24" i="24"/>
  <c r="G24" i="24"/>
  <c r="N24" i="24"/>
  <c r="O24" i="24"/>
  <c r="P24" i="24"/>
  <c r="Q24" i="24"/>
  <c r="R24" i="24"/>
  <c r="N25" i="24"/>
  <c r="O25" i="24"/>
  <c r="P25" i="24"/>
  <c r="Q25" i="24"/>
  <c r="R25" i="24"/>
  <c r="N26" i="24"/>
  <c r="O26" i="24"/>
  <c r="P26" i="24"/>
  <c r="Q26" i="24"/>
  <c r="R26" i="24"/>
  <c r="B27" i="24"/>
  <c r="C27" i="24"/>
  <c r="D27" i="24"/>
  <c r="E27" i="24"/>
  <c r="F27" i="24"/>
  <c r="G27" i="24"/>
  <c r="N27" i="24"/>
  <c r="O27" i="24"/>
  <c r="P27" i="24"/>
  <c r="Q27" i="24"/>
  <c r="R27" i="24"/>
  <c r="N28" i="24"/>
  <c r="O28" i="24"/>
  <c r="P28" i="24"/>
  <c r="Q28" i="24"/>
  <c r="R28" i="24"/>
  <c r="N29" i="24"/>
  <c r="O29" i="24"/>
  <c r="P29" i="24"/>
  <c r="Q29" i="24"/>
  <c r="R29" i="24"/>
  <c r="B30" i="24"/>
  <c r="C30" i="24"/>
  <c r="D30" i="24"/>
  <c r="E30" i="24"/>
  <c r="F30" i="24"/>
  <c r="G30" i="24"/>
  <c r="N30" i="24"/>
  <c r="O30" i="24"/>
  <c r="P30" i="24"/>
  <c r="Q30" i="24"/>
  <c r="R30" i="24"/>
  <c r="B34" i="24"/>
  <c r="C34" i="24"/>
  <c r="D34" i="24"/>
  <c r="E34" i="24"/>
  <c r="F34" i="24"/>
  <c r="G34" i="24"/>
  <c r="N39" i="24"/>
  <c r="N34" i="24"/>
  <c r="O39" i="24"/>
  <c r="O34" i="24"/>
  <c r="P39" i="24"/>
  <c r="P34" i="24"/>
  <c r="Q39" i="24"/>
  <c r="Q34" i="24"/>
  <c r="R39" i="24"/>
  <c r="R34" i="24"/>
  <c r="B35" i="24"/>
  <c r="C35" i="24"/>
  <c r="D35" i="24"/>
  <c r="E35" i="24"/>
  <c r="F35" i="24"/>
  <c r="G35" i="24"/>
  <c r="N35" i="24"/>
  <c r="O35" i="24"/>
  <c r="P35" i="24"/>
  <c r="Q35" i="24"/>
  <c r="R35" i="24"/>
  <c r="B37" i="24"/>
  <c r="C37" i="24"/>
  <c r="D37" i="24"/>
  <c r="E37" i="24"/>
  <c r="F37" i="24"/>
  <c r="G37" i="24"/>
  <c r="N37" i="24"/>
  <c r="O37" i="24"/>
  <c r="P37" i="24"/>
  <c r="Q37" i="24"/>
  <c r="R37" i="24"/>
  <c r="B38" i="24"/>
  <c r="C38" i="24"/>
  <c r="D38" i="24"/>
  <c r="E38" i="24"/>
  <c r="F38" i="24"/>
  <c r="G38" i="24"/>
  <c r="N38" i="24"/>
  <c r="O38" i="24"/>
  <c r="P38" i="24"/>
  <c r="Q38" i="24"/>
  <c r="R38" i="24"/>
  <c r="A43" i="24"/>
  <c r="B43" i="24"/>
  <c r="C43" i="24"/>
  <c r="D43" i="24"/>
  <c r="E43" i="24"/>
  <c r="F43" i="24"/>
  <c r="G43" i="24"/>
  <c r="I43" i="24"/>
  <c r="J43" i="24"/>
  <c r="K43" i="24"/>
  <c r="L43" i="24"/>
  <c r="M43" i="24"/>
  <c r="N43" i="24"/>
  <c r="O43" i="24"/>
  <c r="P43" i="24"/>
  <c r="Q43" i="24"/>
  <c r="R43" i="24"/>
  <c r="S43" i="24"/>
  <c r="B44" i="24"/>
  <c r="C44" i="24"/>
  <c r="D44" i="24"/>
  <c r="E44" i="24"/>
  <c r="F44" i="24"/>
  <c r="G44" i="24"/>
  <c r="I44" i="24"/>
  <c r="J44" i="24"/>
  <c r="K44" i="24"/>
  <c r="L44" i="24"/>
  <c r="M44" i="24"/>
  <c r="N44" i="24"/>
  <c r="O44" i="24"/>
  <c r="P44" i="24"/>
  <c r="Q44" i="24"/>
  <c r="R44" i="24"/>
  <c r="I47" i="24"/>
  <c r="J47" i="24"/>
  <c r="K47" i="24"/>
  <c r="L47" i="24"/>
  <c r="M47" i="24"/>
  <c r="N47" i="24"/>
  <c r="O47" i="24"/>
  <c r="P47" i="24"/>
  <c r="Q47" i="24"/>
  <c r="R47" i="24"/>
  <c r="N48" i="24"/>
  <c r="O48" i="24"/>
  <c r="P48" i="24"/>
  <c r="Q48" i="24"/>
  <c r="R48" i="24"/>
  <c r="N49" i="24"/>
  <c r="O49" i="24"/>
  <c r="P49" i="24"/>
  <c r="Q49" i="24"/>
  <c r="R49" i="24"/>
  <c r="T49" i="24"/>
  <c r="U49" i="24"/>
  <c r="V49" i="24"/>
  <c r="W49" i="24"/>
  <c r="X49" i="24"/>
  <c r="Y49" i="24"/>
  <c r="N50" i="24"/>
  <c r="O50" i="24"/>
  <c r="P50" i="24"/>
  <c r="Q50" i="24"/>
  <c r="R50" i="24"/>
  <c r="T50" i="24"/>
  <c r="U50" i="24"/>
  <c r="V50" i="24"/>
  <c r="W50" i="24"/>
  <c r="X50" i="24"/>
  <c r="Y50" i="24"/>
  <c r="N51" i="24"/>
  <c r="O51" i="24"/>
  <c r="P51" i="24"/>
  <c r="Q51" i="24"/>
  <c r="R51" i="24"/>
  <c r="B52" i="24"/>
  <c r="C52" i="24"/>
  <c r="D52" i="24"/>
  <c r="E52" i="24"/>
  <c r="F52" i="24"/>
  <c r="G52" i="24"/>
  <c r="N52" i="24"/>
  <c r="O52" i="24"/>
  <c r="P52" i="24"/>
  <c r="Q52" i="24"/>
  <c r="R52" i="24"/>
  <c r="N55" i="24"/>
  <c r="O55" i="24"/>
  <c r="P55" i="24"/>
  <c r="Q55" i="24"/>
  <c r="R55" i="24"/>
  <c r="B56" i="24"/>
  <c r="C56" i="24"/>
  <c r="D56" i="24"/>
  <c r="E56" i="24"/>
  <c r="F56" i="24"/>
  <c r="G56" i="24"/>
  <c r="N56" i="24"/>
  <c r="O56" i="24"/>
  <c r="P56" i="24"/>
  <c r="Q56" i="24"/>
  <c r="R56" i="24"/>
  <c r="N57" i="24"/>
  <c r="O57" i="24"/>
  <c r="P57" i="24"/>
  <c r="Q57" i="24"/>
  <c r="R57" i="24"/>
  <c r="N58" i="24"/>
  <c r="O58" i="24"/>
  <c r="P58" i="24"/>
  <c r="Q58" i="24"/>
  <c r="R58" i="24"/>
  <c r="N59" i="24"/>
  <c r="O59" i="24"/>
  <c r="P59" i="24"/>
  <c r="Q59" i="24"/>
  <c r="R59" i="24"/>
  <c r="N60" i="24"/>
  <c r="O60" i="24"/>
  <c r="P60" i="24"/>
  <c r="Q60" i="24"/>
  <c r="R60" i="24"/>
  <c r="B61" i="24"/>
  <c r="C61" i="24"/>
  <c r="D61" i="24"/>
  <c r="E61" i="24"/>
  <c r="F61" i="24"/>
  <c r="G61" i="24"/>
  <c r="N61" i="24"/>
  <c r="O61" i="24"/>
  <c r="P61" i="24"/>
  <c r="Q61" i="24"/>
  <c r="R61" i="24"/>
  <c r="B62" i="24"/>
  <c r="C62" i="24"/>
  <c r="D62" i="24"/>
  <c r="E62" i="24"/>
  <c r="F62" i="24"/>
  <c r="G62" i="24"/>
  <c r="N62" i="24"/>
  <c r="O62" i="24"/>
  <c r="P62" i="24"/>
  <c r="Q62" i="24"/>
  <c r="R62" i="24"/>
  <c r="N66" i="24"/>
  <c r="O66" i="24"/>
  <c r="P66" i="24"/>
  <c r="Q66" i="24"/>
  <c r="R66" i="24"/>
  <c r="T66" i="24"/>
  <c r="U66" i="24"/>
  <c r="V66" i="24"/>
  <c r="W66" i="24"/>
  <c r="X66" i="24"/>
  <c r="Y66" i="24"/>
  <c r="N67" i="24"/>
  <c r="O67" i="24"/>
  <c r="P67" i="24"/>
  <c r="Q67" i="24"/>
  <c r="R67" i="24"/>
  <c r="N68" i="24"/>
  <c r="O68" i="24"/>
  <c r="P68" i="24"/>
  <c r="Q68" i="24"/>
  <c r="R68" i="24"/>
  <c r="T68" i="24"/>
  <c r="U68" i="24"/>
  <c r="V68" i="24"/>
  <c r="W68" i="24"/>
  <c r="X68" i="24"/>
  <c r="Y68" i="24"/>
  <c r="N69" i="24"/>
  <c r="O69" i="24"/>
  <c r="P69" i="24"/>
  <c r="Q69" i="24"/>
  <c r="R69" i="24"/>
  <c r="N70" i="24"/>
  <c r="O70" i="24"/>
  <c r="P70" i="24"/>
  <c r="Q70" i="24"/>
  <c r="R70" i="24"/>
  <c r="N71" i="24"/>
  <c r="O71" i="24"/>
  <c r="P71" i="24"/>
  <c r="Q71" i="24"/>
  <c r="R71" i="24"/>
  <c r="B72" i="24"/>
  <c r="C72" i="24"/>
  <c r="D72" i="24"/>
  <c r="E72" i="24"/>
  <c r="F72" i="24"/>
  <c r="G72" i="24"/>
  <c r="N72" i="24"/>
  <c r="O72" i="24"/>
  <c r="P72" i="24"/>
  <c r="Q72" i="24"/>
  <c r="R72" i="24"/>
  <c r="N74" i="24"/>
  <c r="O74" i="24"/>
  <c r="P74" i="24"/>
  <c r="Q74" i="24"/>
  <c r="R74" i="24"/>
  <c r="N75" i="24"/>
  <c r="O75" i="24"/>
  <c r="P75" i="24"/>
  <c r="Q75" i="24"/>
  <c r="R75" i="24"/>
  <c r="N76" i="24"/>
  <c r="O76" i="24"/>
  <c r="P76" i="24"/>
  <c r="Q76" i="24"/>
  <c r="R76" i="24"/>
  <c r="N77" i="24"/>
  <c r="O77" i="24"/>
  <c r="P77" i="24"/>
  <c r="Q77" i="24"/>
  <c r="R77" i="24"/>
  <c r="N78" i="24"/>
  <c r="O78" i="24"/>
  <c r="P78" i="24"/>
  <c r="Q78" i="24"/>
  <c r="R78" i="24"/>
  <c r="B79" i="24"/>
  <c r="C79" i="24"/>
  <c r="D79" i="24"/>
  <c r="E79" i="24"/>
  <c r="F79" i="24"/>
  <c r="G79" i="24"/>
  <c r="N79" i="24"/>
  <c r="O79" i="24"/>
  <c r="P79" i="24"/>
  <c r="Q79" i="24"/>
  <c r="R79" i="24"/>
  <c r="B80" i="24"/>
  <c r="C80" i="24"/>
  <c r="D80" i="24"/>
  <c r="E80" i="24"/>
  <c r="F80" i="24"/>
  <c r="G80" i="24"/>
  <c r="N80" i="24"/>
  <c r="O80" i="24"/>
  <c r="P80" i="24"/>
  <c r="Q80" i="24"/>
  <c r="R80" i="24"/>
  <c r="N82" i="24"/>
  <c r="O82" i="24"/>
  <c r="P82" i="24"/>
  <c r="Q82" i="24"/>
  <c r="R82" i="24"/>
  <c r="N83" i="24"/>
  <c r="O83" i="24"/>
  <c r="P83" i="24"/>
  <c r="Q83" i="24"/>
  <c r="R83" i="24"/>
  <c r="N84" i="24"/>
  <c r="O84" i="24"/>
  <c r="P84" i="24"/>
  <c r="Q84" i="24"/>
  <c r="R84" i="24"/>
  <c r="I85" i="24"/>
  <c r="J85" i="24"/>
  <c r="K85" i="24"/>
  <c r="L85" i="24"/>
  <c r="M85" i="24"/>
  <c r="N85" i="24"/>
  <c r="O85" i="24"/>
  <c r="P85" i="24"/>
  <c r="Q85" i="24"/>
  <c r="R85" i="24"/>
  <c r="N86" i="24"/>
  <c r="O86" i="24"/>
  <c r="P86" i="24"/>
  <c r="Q86" i="24"/>
  <c r="R86" i="24"/>
  <c r="B87" i="24"/>
  <c r="C87" i="24"/>
  <c r="D87" i="24"/>
  <c r="E87" i="24"/>
  <c r="F87" i="24"/>
  <c r="G87" i="24"/>
  <c r="N87" i="24"/>
  <c r="O87" i="24"/>
  <c r="P87" i="24"/>
  <c r="Q87" i="24"/>
  <c r="R87" i="24"/>
  <c r="B89" i="24"/>
  <c r="C89" i="24"/>
  <c r="D89" i="24"/>
  <c r="E89" i="24"/>
  <c r="F89" i="24"/>
  <c r="G89" i="24"/>
  <c r="N89" i="24"/>
  <c r="O89" i="24"/>
  <c r="P89" i="24"/>
  <c r="Q89" i="24"/>
  <c r="R89" i="24"/>
  <c r="N91" i="24"/>
  <c r="O91" i="24"/>
  <c r="P91" i="24"/>
  <c r="Q91" i="24"/>
  <c r="R91" i="24"/>
  <c r="B94" i="24"/>
  <c r="C94" i="24"/>
  <c r="D94" i="24"/>
  <c r="E94" i="24"/>
  <c r="F94" i="24"/>
  <c r="G94" i="24"/>
  <c r="N94" i="24"/>
  <c r="O94" i="24"/>
  <c r="P94" i="24"/>
  <c r="Q94" i="24"/>
  <c r="R94" i="24"/>
  <c r="B95" i="24"/>
  <c r="C95" i="24"/>
  <c r="D95" i="24"/>
  <c r="E95" i="24"/>
  <c r="F95" i="24"/>
  <c r="G95" i="24"/>
  <c r="N95" i="24"/>
  <c r="O95" i="24"/>
  <c r="P95" i="24"/>
  <c r="Q95" i="24"/>
  <c r="R95" i="24"/>
  <c r="B97" i="24"/>
  <c r="C97" i="24"/>
  <c r="D97" i="24"/>
  <c r="E97" i="24"/>
  <c r="F97" i="24"/>
  <c r="G97" i="24"/>
  <c r="N97" i="24"/>
  <c r="O97" i="24"/>
  <c r="P97" i="24"/>
  <c r="Q97" i="24"/>
  <c r="R97" i="24"/>
  <c r="B98" i="24"/>
  <c r="C98" i="24"/>
  <c r="D98" i="24"/>
  <c r="E98" i="24"/>
  <c r="F98" i="24"/>
  <c r="G98" i="24"/>
  <c r="N98" i="24"/>
  <c r="O98" i="24"/>
  <c r="P98" i="24"/>
  <c r="Q98" i="24"/>
  <c r="R98" i="24"/>
  <c r="B99" i="24"/>
  <c r="C99" i="24"/>
  <c r="D99" i="24"/>
  <c r="E99" i="24"/>
  <c r="F99" i="24"/>
  <c r="G99" i="24"/>
  <c r="N99" i="24"/>
  <c r="O99" i="24"/>
  <c r="P99" i="24"/>
  <c r="Q99" i="24"/>
  <c r="R99" i="24"/>
  <c r="B100" i="24"/>
  <c r="C100" i="24"/>
  <c r="D100" i="24"/>
  <c r="E100" i="24"/>
  <c r="F100" i="24"/>
  <c r="G100" i="24"/>
  <c r="N100" i="24"/>
  <c r="O100" i="24"/>
  <c r="P100" i="24"/>
  <c r="Q100" i="24"/>
  <c r="R100" i="24"/>
  <c r="B101" i="24"/>
  <c r="C101" i="24"/>
  <c r="D101" i="24"/>
  <c r="E101" i="24"/>
  <c r="F101" i="24"/>
  <c r="G101" i="24"/>
  <c r="N101" i="24"/>
  <c r="O101" i="24"/>
  <c r="P101" i="24"/>
  <c r="Q101" i="24"/>
  <c r="R101" i="24"/>
  <c r="B104" i="24"/>
  <c r="C104" i="24"/>
  <c r="D104" i="24"/>
  <c r="E104" i="24"/>
  <c r="F104" i="24"/>
  <c r="G104" i="24"/>
  <c r="N104" i="24"/>
  <c r="O104" i="24"/>
  <c r="P104" i="24"/>
  <c r="Q104" i="24"/>
  <c r="R104" i="24"/>
  <c r="B105" i="24"/>
  <c r="C105" i="24"/>
  <c r="D105" i="24"/>
  <c r="E105" i="24"/>
  <c r="F105" i="24"/>
  <c r="G105" i="24"/>
  <c r="N105" i="24"/>
  <c r="O105" i="24"/>
  <c r="P105" i="24"/>
  <c r="Q105" i="24"/>
  <c r="R105" i="24"/>
  <c r="B106" i="24"/>
  <c r="C106" i="24"/>
  <c r="D106" i="24"/>
  <c r="E106" i="24"/>
  <c r="F106" i="24"/>
  <c r="G106" i="24"/>
  <c r="N106" i="24"/>
  <c r="O106" i="24"/>
  <c r="P106" i="24"/>
  <c r="Q106" i="24"/>
  <c r="R106" i="24"/>
  <c r="B107" i="24"/>
  <c r="C107" i="24"/>
  <c r="D107" i="24"/>
  <c r="E107" i="24"/>
  <c r="F107" i="24"/>
  <c r="G107" i="24"/>
  <c r="N107" i="24"/>
  <c r="O107" i="24"/>
  <c r="P107" i="24"/>
  <c r="Q107" i="24"/>
  <c r="R107" i="24"/>
  <c r="B110" i="24"/>
  <c r="C110" i="24"/>
  <c r="D110" i="24"/>
  <c r="E110" i="24"/>
  <c r="F110" i="24"/>
  <c r="G110" i="24"/>
  <c r="N110" i="24"/>
  <c r="O110" i="24"/>
  <c r="P110" i="24"/>
  <c r="Q110" i="24"/>
  <c r="R110" i="24"/>
  <c r="B111" i="24"/>
  <c r="C111" i="24"/>
  <c r="D111" i="24"/>
  <c r="E111" i="24"/>
  <c r="F111" i="24"/>
  <c r="G111" i="24"/>
  <c r="N111" i="24"/>
  <c r="O111" i="24"/>
  <c r="P111" i="24"/>
  <c r="Q111" i="24"/>
  <c r="R111" i="24"/>
  <c r="B114" i="24"/>
  <c r="C114" i="24"/>
  <c r="D114" i="24"/>
  <c r="E114" i="24"/>
  <c r="F114" i="24"/>
  <c r="G114" i="24"/>
  <c r="N114" i="24"/>
  <c r="O114" i="24"/>
  <c r="P114" i="24"/>
  <c r="Q114" i="24"/>
  <c r="R114" i="24"/>
  <c r="B115" i="24"/>
  <c r="C115" i="24"/>
  <c r="D115" i="24"/>
  <c r="E115" i="24"/>
  <c r="F115" i="24"/>
  <c r="G115" i="24"/>
  <c r="N115" i="24"/>
  <c r="O115" i="24"/>
  <c r="P115" i="24"/>
  <c r="Q115" i="24"/>
  <c r="R115" i="24"/>
  <c r="B116" i="24"/>
  <c r="C116" i="24"/>
  <c r="D116" i="24"/>
  <c r="E116" i="24"/>
  <c r="F116" i="24"/>
  <c r="G116" i="24"/>
  <c r="N116" i="24"/>
  <c r="O116" i="24"/>
  <c r="P116" i="24"/>
  <c r="Q116" i="24"/>
  <c r="R116" i="24"/>
  <c r="B117" i="24"/>
  <c r="C117" i="24"/>
  <c r="D117" i="24"/>
  <c r="E117" i="24"/>
  <c r="F117" i="24"/>
  <c r="G117" i="24"/>
  <c r="N117" i="24"/>
  <c r="O117" i="24"/>
  <c r="P117" i="24"/>
  <c r="Q117" i="24"/>
  <c r="R117" i="24"/>
  <c r="B118" i="24"/>
  <c r="C118" i="24"/>
  <c r="D118" i="24"/>
  <c r="E118" i="24"/>
  <c r="F118" i="24"/>
  <c r="G118" i="24"/>
  <c r="N118" i="24"/>
  <c r="O118" i="24"/>
  <c r="P118" i="24"/>
  <c r="Q118" i="24"/>
  <c r="R118" i="24"/>
  <c r="B119" i="24"/>
  <c r="C119" i="24"/>
  <c r="D119" i="24"/>
  <c r="E119" i="24"/>
  <c r="F119" i="24"/>
  <c r="G119" i="24"/>
  <c r="N119" i="24"/>
  <c r="O119" i="24"/>
  <c r="P119" i="24"/>
  <c r="Q119" i="24"/>
  <c r="R119" i="24"/>
  <c r="B124" i="24"/>
  <c r="B123" i="24"/>
  <c r="B122" i="24"/>
  <c r="B121" i="24"/>
  <c r="C124" i="24"/>
  <c r="C123" i="24"/>
  <c r="C122" i="24"/>
  <c r="C121" i="24"/>
  <c r="D124" i="24"/>
  <c r="D123" i="24"/>
  <c r="D122" i="24"/>
  <c r="D121" i="24"/>
  <c r="E124" i="24"/>
  <c r="E123" i="24"/>
  <c r="E122" i="24"/>
  <c r="E121" i="24"/>
  <c r="F124" i="24"/>
  <c r="F123" i="24"/>
  <c r="F122" i="24"/>
  <c r="F121" i="24"/>
  <c r="G124" i="24"/>
  <c r="G123" i="24"/>
  <c r="G122" i="24"/>
  <c r="G121" i="24"/>
  <c r="N124" i="24"/>
  <c r="N123" i="24"/>
  <c r="N122" i="24"/>
  <c r="N121" i="24"/>
  <c r="O124" i="24"/>
  <c r="O123" i="24"/>
  <c r="O122" i="24"/>
  <c r="O121" i="24"/>
  <c r="P124" i="24"/>
  <c r="P123" i="24"/>
  <c r="P122" i="24"/>
  <c r="P121" i="24"/>
  <c r="Q124" i="24"/>
  <c r="Q123" i="24"/>
  <c r="Q122" i="24"/>
  <c r="Q121" i="24"/>
  <c r="R124" i="24"/>
  <c r="R123" i="24"/>
  <c r="R122" i="24"/>
  <c r="R121" i="24"/>
  <c r="B125" i="24"/>
  <c r="C125" i="24"/>
  <c r="D125" i="24"/>
  <c r="E125" i="24"/>
  <c r="F125" i="24"/>
  <c r="G125" i="24"/>
  <c r="N125" i="24"/>
  <c r="O125" i="24"/>
  <c r="P125" i="24"/>
  <c r="Q125" i="24"/>
  <c r="R125" i="24"/>
  <c r="C128" i="24"/>
  <c r="D128" i="24"/>
  <c r="E128" i="24"/>
  <c r="F128" i="24"/>
  <c r="G128" i="24"/>
  <c r="N128" i="24"/>
  <c r="O128" i="24"/>
  <c r="P128" i="24"/>
  <c r="Q128" i="24"/>
  <c r="R128" i="24"/>
  <c r="B129" i="24"/>
  <c r="C129" i="24"/>
  <c r="D129" i="24"/>
  <c r="E129" i="24"/>
  <c r="F129" i="24"/>
  <c r="G129" i="24"/>
  <c r="N129" i="24"/>
  <c r="O129" i="24"/>
  <c r="P129" i="24"/>
  <c r="Q129" i="24"/>
  <c r="R129" i="24"/>
  <c r="B130" i="24"/>
  <c r="C130" i="24"/>
  <c r="D130" i="24"/>
  <c r="E130" i="24"/>
  <c r="F130" i="24"/>
  <c r="G130" i="24"/>
  <c r="N130" i="24"/>
  <c r="O130" i="24"/>
  <c r="P130" i="24"/>
  <c r="Q130" i="24"/>
  <c r="R130" i="24"/>
  <c r="B131" i="24"/>
  <c r="C131" i="24"/>
  <c r="D131" i="24"/>
  <c r="E131" i="24"/>
  <c r="F131" i="24"/>
  <c r="G131" i="24"/>
  <c r="N131" i="24"/>
  <c r="O131" i="24"/>
  <c r="P131" i="24"/>
  <c r="Q131" i="24"/>
  <c r="R131" i="24"/>
  <c r="B69" i="29"/>
  <c r="B71" i="29"/>
  <c r="B73" i="29"/>
  <c r="B58" i="29"/>
  <c r="C58" i="29"/>
  <c r="D58" i="29"/>
  <c r="E58" i="29"/>
  <c r="F58" i="29"/>
  <c r="G58" i="29"/>
  <c r="B57" i="29"/>
  <c r="C57" i="29"/>
  <c r="D57" i="29"/>
  <c r="E57" i="29"/>
  <c r="F57" i="29"/>
  <c r="G57" i="29"/>
  <c r="C45" i="29"/>
  <c r="D45" i="29"/>
  <c r="E45" i="29"/>
  <c r="F45" i="29"/>
  <c r="G45" i="29"/>
  <c r="C44" i="29"/>
  <c r="D44" i="29"/>
  <c r="E44" i="29"/>
  <c r="F44" i="29"/>
  <c r="G44" i="29"/>
  <c r="C20" i="40"/>
  <c r="D20" i="40"/>
  <c r="E20" i="40"/>
  <c r="F20" i="40"/>
  <c r="G20" i="40"/>
  <c r="G5" i="40"/>
  <c r="G21" i="40"/>
  <c r="G22" i="40"/>
  <c r="G6" i="40"/>
  <c r="G23" i="40"/>
  <c r="G24" i="40"/>
  <c r="G84" i="40"/>
  <c r="G25" i="40"/>
  <c r="G85" i="40"/>
  <c r="G12" i="40"/>
  <c r="G33" i="40"/>
  <c r="G34" i="40"/>
  <c r="G35" i="40"/>
  <c r="G14" i="40"/>
  <c r="G37" i="40"/>
  <c r="C5" i="40"/>
  <c r="C21" i="40"/>
  <c r="C22" i="40"/>
  <c r="C6" i="40"/>
  <c r="C23" i="40"/>
  <c r="C25" i="40"/>
  <c r="C26" i="40"/>
  <c r="C27" i="40"/>
  <c r="C28" i="40"/>
  <c r="C29" i="40"/>
  <c r="C30" i="40"/>
  <c r="C39" i="40"/>
  <c r="D5" i="40"/>
  <c r="D21" i="40"/>
  <c r="D22" i="40"/>
  <c r="D6" i="40"/>
  <c r="D23" i="40"/>
  <c r="D25" i="40"/>
  <c r="D26" i="40"/>
  <c r="D27" i="40"/>
  <c r="D28" i="40"/>
  <c r="D29" i="40"/>
  <c r="D30" i="40"/>
  <c r="D39" i="40"/>
  <c r="E5" i="40"/>
  <c r="E21" i="40"/>
  <c r="E22" i="40"/>
  <c r="E6" i="40"/>
  <c r="E23" i="40"/>
  <c r="E25" i="40"/>
  <c r="E26" i="40"/>
  <c r="E27" i="40"/>
  <c r="E28" i="40"/>
  <c r="E29" i="40"/>
  <c r="E30" i="40"/>
  <c r="E39" i="40"/>
  <c r="F5" i="40"/>
  <c r="F21" i="40"/>
  <c r="F22" i="40"/>
  <c r="F6" i="40"/>
  <c r="F23" i="40"/>
  <c r="F25" i="40"/>
  <c r="F26" i="40"/>
  <c r="F27" i="40"/>
  <c r="F28" i="40"/>
  <c r="F29" i="40"/>
  <c r="F30" i="40"/>
  <c r="F39" i="40"/>
  <c r="G26" i="40"/>
  <c r="G27" i="40"/>
  <c r="G28" i="40"/>
  <c r="G29" i="40"/>
  <c r="G30" i="40"/>
  <c r="G39" i="40"/>
  <c r="G40" i="40"/>
  <c r="G42" i="40"/>
  <c r="G72" i="40"/>
  <c r="G86" i="40"/>
  <c r="G87" i="40"/>
  <c r="G88" i="40"/>
  <c r="F24" i="40"/>
  <c r="F84" i="40"/>
  <c r="F85" i="40"/>
  <c r="F12" i="40"/>
  <c r="F33" i="40"/>
  <c r="F34" i="40"/>
  <c r="F35" i="40"/>
  <c r="F14" i="40"/>
  <c r="F37" i="40"/>
  <c r="F40" i="40"/>
  <c r="F42" i="40"/>
  <c r="F72" i="40"/>
  <c r="F86" i="40"/>
  <c r="F87" i="40"/>
  <c r="F88" i="40"/>
  <c r="E24" i="40"/>
  <c r="E84" i="40"/>
  <c r="E85" i="40"/>
  <c r="E12" i="40"/>
  <c r="E33" i="40"/>
  <c r="E34" i="40"/>
  <c r="E35" i="40"/>
  <c r="E14" i="40"/>
  <c r="E37" i="40"/>
  <c r="E40" i="40"/>
  <c r="E42" i="40"/>
  <c r="E72" i="40"/>
  <c r="E86" i="40"/>
  <c r="E87" i="40"/>
  <c r="E88" i="40"/>
  <c r="D24" i="40"/>
  <c r="D84" i="40"/>
  <c r="D85" i="40"/>
  <c r="D12" i="40"/>
  <c r="D33" i="40"/>
  <c r="D34" i="40"/>
  <c r="D35" i="40"/>
  <c r="D14" i="40"/>
  <c r="D37" i="40"/>
  <c r="D40" i="40"/>
  <c r="D42" i="40"/>
  <c r="D72" i="40"/>
  <c r="D86" i="40"/>
  <c r="D87" i="40"/>
  <c r="D88" i="40"/>
  <c r="C24" i="40"/>
  <c r="C84" i="40"/>
  <c r="C85" i="40"/>
  <c r="C12" i="40"/>
  <c r="C33" i="40"/>
  <c r="C34" i="40"/>
  <c r="C35" i="40"/>
  <c r="C14" i="40"/>
  <c r="C37" i="40"/>
  <c r="C38" i="40"/>
  <c r="C40" i="40"/>
  <c r="C42" i="40"/>
  <c r="C72" i="40"/>
  <c r="C86" i="40"/>
  <c r="C87" i="40"/>
  <c r="C88" i="40"/>
  <c r="D71" i="40"/>
  <c r="E71" i="40"/>
  <c r="F71" i="40"/>
  <c r="G71" i="40"/>
  <c r="G83" i="40"/>
  <c r="F83" i="40"/>
  <c r="E83" i="40"/>
  <c r="D83" i="40"/>
  <c r="C83" i="40"/>
  <c r="G73" i="40"/>
  <c r="F73" i="40"/>
  <c r="E73" i="40"/>
  <c r="D73" i="40"/>
  <c r="G19" i="40"/>
  <c r="F19" i="40"/>
  <c r="E19" i="40"/>
  <c r="D19" i="40"/>
  <c r="B19" i="40"/>
  <c r="D14" i="38"/>
  <c r="D25" i="38"/>
  <c r="B14" i="38"/>
  <c r="B25" i="38"/>
  <c r="D17" i="38"/>
  <c r="D18" i="38"/>
  <c r="D19" i="38"/>
  <c r="D20" i="38"/>
  <c r="D24" i="38"/>
  <c r="B17" i="38"/>
  <c r="B18" i="38"/>
  <c r="B19" i="38"/>
  <c r="B20" i="38"/>
  <c r="B24" i="38"/>
  <c r="D23" i="38"/>
  <c r="B23" i="38"/>
  <c r="G165" i="39"/>
  <c r="G169" i="39"/>
  <c r="G174" i="39"/>
  <c r="G175" i="39"/>
  <c r="F165" i="39"/>
  <c r="F169" i="39"/>
  <c r="F174" i="39"/>
  <c r="F175" i="39"/>
  <c r="G242" i="39"/>
  <c r="E165" i="39"/>
  <c r="E169" i="39"/>
  <c r="E174" i="39"/>
  <c r="E175" i="39"/>
  <c r="F242" i="39"/>
  <c r="D165" i="39"/>
  <c r="D169" i="39"/>
  <c r="D174" i="39"/>
  <c r="D175" i="39"/>
  <c r="E242" i="39"/>
  <c r="C165" i="39"/>
  <c r="C169" i="39"/>
  <c r="C174" i="39"/>
  <c r="C175" i="39"/>
  <c r="D242" i="39"/>
  <c r="B165" i="39"/>
  <c r="B169" i="39"/>
  <c r="B174" i="39"/>
  <c r="B175" i="39"/>
  <c r="C242" i="39"/>
  <c r="B240" i="39"/>
  <c r="B241" i="39"/>
  <c r="B242" i="39"/>
  <c r="G130" i="39"/>
  <c r="G131" i="39"/>
  <c r="F130" i="39"/>
  <c r="F131" i="39"/>
  <c r="G241" i="39"/>
  <c r="E130" i="39"/>
  <c r="E131" i="39"/>
  <c r="F241" i="39"/>
  <c r="D130" i="39"/>
  <c r="D131" i="39"/>
  <c r="E241" i="39"/>
  <c r="C130" i="39"/>
  <c r="C131" i="39"/>
  <c r="D241" i="39"/>
  <c r="B130" i="39"/>
  <c r="B131" i="39"/>
  <c r="C241" i="39"/>
  <c r="G123" i="39"/>
  <c r="F123" i="39"/>
  <c r="G240" i="39"/>
  <c r="E123" i="39"/>
  <c r="F240" i="39"/>
  <c r="D123" i="39"/>
  <c r="E240" i="39"/>
  <c r="C123" i="39"/>
  <c r="D240" i="39"/>
  <c r="B123" i="39"/>
  <c r="C240" i="39"/>
  <c r="G239" i="39"/>
  <c r="F239" i="39"/>
  <c r="E239" i="39"/>
  <c r="D239" i="39"/>
  <c r="C239" i="39"/>
  <c r="G135" i="39"/>
  <c r="G137" i="39"/>
  <c r="G140" i="39"/>
  <c r="G200" i="39"/>
  <c r="G236" i="39"/>
  <c r="F135" i="39"/>
  <c r="F137" i="39"/>
  <c r="F140" i="39"/>
  <c r="F200" i="39"/>
  <c r="F236" i="39"/>
  <c r="E135" i="39"/>
  <c r="E137" i="39"/>
  <c r="E140" i="39"/>
  <c r="E200" i="39"/>
  <c r="E236" i="39"/>
  <c r="D135" i="39"/>
  <c r="D137" i="39"/>
  <c r="D140" i="39"/>
  <c r="D200" i="39"/>
  <c r="D236" i="39"/>
  <c r="C135" i="39"/>
  <c r="C137" i="39"/>
  <c r="C140" i="39"/>
  <c r="C200" i="39"/>
  <c r="C236" i="39"/>
  <c r="B135" i="39"/>
  <c r="B137" i="39"/>
  <c r="B140" i="39"/>
  <c r="B200" i="39"/>
  <c r="B236" i="39"/>
  <c r="G235" i="39"/>
  <c r="F235" i="39"/>
  <c r="E235" i="39"/>
  <c r="D235" i="39"/>
  <c r="C235" i="39"/>
  <c r="B235" i="39"/>
  <c r="G222" i="39"/>
  <c r="G234" i="39"/>
  <c r="F222" i="39"/>
  <c r="F234" i="39"/>
  <c r="E222" i="39"/>
  <c r="E234" i="39"/>
  <c r="D222" i="39"/>
  <c r="D234" i="39"/>
  <c r="C222" i="39"/>
  <c r="C234" i="39"/>
  <c r="B222" i="39"/>
  <c r="B234" i="39"/>
  <c r="G227" i="39"/>
  <c r="G233" i="39"/>
  <c r="F227" i="39"/>
  <c r="F233" i="39"/>
  <c r="E227" i="39"/>
  <c r="E233" i="39"/>
  <c r="D227" i="39"/>
  <c r="D233" i="39"/>
  <c r="C227" i="39"/>
  <c r="C233" i="39"/>
  <c r="B227" i="39"/>
  <c r="B233" i="39"/>
  <c r="G232" i="39"/>
  <c r="F232" i="39"/>
  <c r="E232" i="39"/>
  <c r="D232" i="39"/>
  <c r="C232" i="39"/>
  <c r="B232" i="39"/>
  <c r="G230" i="39"/>
  <c r="F230" i="39"/>
  <c r="E230" i="39"/>
  <c r="D230" i="39"/>
  <c r="C230" i="39"/>
  <c r="B230" i="39"/>
  <c r="G229" i="39"/>
  <c r="F229" i="39"/>
  <c r="E229" i="39"/>
  <c r="D229" i="39"/>
  <c r="C229" i="39"/>
  <c r="B229" i="39"/>
  <c r="G228" i="39"/>
  <c r="F228" i="39"/>
  <c r="E228" i="39"/>
  <c r="D228" i="39"/>
  <c r="C228" i="39"/>
  <c r="B228" i="39"/>
  <c r="G226" i="39"/>
  <c r="F226" i="39"/>
  <c r="E226" i="39"/>
  <c r="D226" i="39"/>
  <c r="C226" i="39"/>
  <c r="B226" i="39"/>
  <c r="G225" i="39"/>
  <c r="F225" i="39"/>
  <c r="E225" i="39"/>
  <c r="D225" i="39"/>
  <c r="C225" i="39"/>
  <c r="B225" i="39"/>
  <c r="G221" i="39"/>
  <c r="F221" i="39"/>
  <c r="E221" i="39"/>
  <c r="D221" i="39"/>
  <c r="C221" i="39"/>
  <c r="B221" i="39"/>
  <c r="G218" i="39"/>
  <c r="F218" i="39"/>
  <c r="E218" i="39"/>
  <c r="D218" i="39"/>
  <c r="C218" i="39"/>
  <c r="B218" i="39"/>
  <c r="G217" i="39"/>
  <c r="F217" i="39"/>
  <c r="E217" i="39"/>
  <c r="D217" i="39"/>
  <c r="C217" i="39"/>
  <c r="B217" i="39"/>
  <c r="G216" i="39"/>
  <c r="F216" i="39"/>
  <c r="E216" i="39"/>
  <c r="D216" i="39"/>
  <c r="C216" i="39"/>
  <c r="B216" i="39"/>
  <c r="G215" i="39"/>
  <c r="F215" i="39"/>
  <c r="E215" i="39"/>
  <c r="D215" i="39"/>
  <c r="C215" i="39"/>
  <c r="B215" i="39"/>
  <c r="G212" i="39"/>
  <c r="F212" i="39"/>
  <c r="E212" i="39"/>
  <c r="D212" i="39"/>
  <c r="C212" i="39"/>
  <c r="B212" i="39"/>
  <c r="G211" i="39"/>
  <c r="F211" i="39"/>
  <c r="E211" i="39"/>
  <c r="D211" i="39"/>
  <c r="C211" i="39"/>
  <c r="B211" i="39"/>
  <c r="G210" i="39"/>
  <c r="F210" i="39"/>
  <c r="E210" i="39"/>
  <c r="D210" i="39"/>
  <c r="C210" i="39"/>
  <c r="B210" i="39"/>
  <c r="G185" i="39"/>
  <c r="G209" i="39"/>
  <c r="F185" i="39"/>
  <c r="F209" i="39"/>
  <c r="E185" i="39"/>
  <c r="E209" i="39"/>
  <c r="D185" i="39"/>
  <c r="D209" i="39"/>
  <c r="C185" i="39"/>
  <c r="C209" i="39"/>
  <c r="B185" i="39"/>
  <c r="B209" i="39"/>
  <c r="G208" i="39"/>
  <c r="F208" i="39"/>
  <c r="E208" i="39"/>
  <c r="D208" i="39"/>
  <c r="C208" i="39"/>
  <c r="B208" i="39"/>
  <c r="G157" i="39"/>
  <c r="G206" i="39"/>
  <c r="F119" i="39"/>
  <c r="F157" i="39"/>
  <c r="F206" i="39"/>
  <c r="E119" i="39"/>
  <c r="E157" i="39"/>
  <c r="E206" i="39"/>
  <c r="D119" i="39"/>
  <c r="D157" i="39"/>
  <c r="D206" i="39"/>
  <c r="C119" i="39"/>
  <c r="C157" i="39"/>
  <c r="C206" i="39"/>
  <c r="B119" i="39"/>
  <c r="B157" i="39"/>
  <c r="B206" i="39"/>
  <c r="G205" i="39"/>
  <c r="F118" i="39"/>
  <c r="F205" i="39"/>
  <c r="E118" i="39"/>
  <c r="E205" i="39"/>
  <c r="D118" i="39"/>
  <c r="D156" i="39"/>
  <c r="D205" i="39"/>
  <c r="C118" i="39"/>
  <c r="C156" i="39"/>
  <c r="C205" i="39"/>
  <c r="B118" i="39"/>
  <c r="B156" i="39"/>
  <c r="B205" i="39"/>
  <c r="G192" i="39"/>
  <c r="G193" i="39"/>
  <c r="G202" i="39"/>
  <c r="F192" i="39"/>
  <c r="F193" i="39"/>
  <c r="F202" i="39"/>
  <c r="E192" i="39"/>
  <c r="E193" i="39"/>
  <c r="E202" i="39"/>
  <c r="D192" i="39"/>
  <c r="D193" i="39"/>
  <c r="D202" i="39"/>
  <c r="C192" i="39"/>
  <c r="C193" i="39"/>
  <c r="C202" i="39"/>
  <c r="B192" i="39"/>
  <c r="B193" i="39"/>
  <c r="B202" i="39"/>
  <c r="G156" i="39"/>
  <c r="F156" i="39"/>
  <c r="E156" i="39"/>
  <c r="A156" i="39"/>
  <c r="G148" i="39"/>
  <c r="G151" i="39"/>
  <c r="F148" i="39"/>
  <c r="F151" i="39"/>
  <c r="E148" i="39"/>
  <c r="E151" i="39"/>
  <c r="D148" i="39"/>
  <c r="D151" i="39"/>
  <c r="C148" i="39"/>
  <c r="C151" i="39"/>
  <c r="B148" i="39"/>
  <c r="B151" i="39"/>
  <c r="G150" i="39"/>
  <c r="F150" i="39"/>
  <c r="E150" i="39"/>
  <c r="D150" i="39"/>
  <c r="C150" i="39"/>
  <c r="B150" i="39"/>
  <c r="G147" i="39"/>
  <c r="F147" i="39"/>
  <c r="E147" i="39"/>
  <c r="D147" i="39"/>
  <c r="C147" i="39"/>
  <c r="B147" i="39"/>
  <c r="G143" i="39"/>
  <c r="F143" i="39"/>
  <c r="E143" i="39"/>
  <c r="D143" i="39"/>
  <c r="C143" i="39"/>
  <c r="B143" i="39"/>
  <c r="K106" i="39"/>
  <c r="K107" i="39"/>
  <c r="K108" i="39"/>
  <c r="H94" i="39"/>
  <c r="H97" i="39"/>
  <c r="H95" i="39"/>
  <c r="H96" i="39"/>
  <c r="H71" i="39"/>
  <c r="H70" i="39"/>
  <c r="H69" i="39"/>
  <c r="H68" i="39"/>
  <c r="K57" i="39"/>
  <c r="K58" i="39"/>
  <c r="K59" i="39"/>
  <c r="K60" i="39"/>
  <c r="K61" i="39"/>
  <c r="H61" i="39"/>
  <c r="H60" i="39"/>
  <c r="H59" i="39"/>
  <c r="H58" i="39"/>
  <c r="H57" i="39"/>
  <c r="H56" i="39"/>
  <c r="H45" i="39"/>
  <c r="H44" i="39"/>
  <c r="H35" i="39"/>
  <c r="H34" i="39"/>
  <c r="H33" i="39"/>
  <c r="H32" i="39"/>
  <c r="H24" i="39"/>
  <c r="H23" i="39"/>
  <c r="H22" i="39"/>
  <c r="H21" i="39"/>
  <c r="H20" i="39"/>
  <c r="I56" i="41"/>
  <c r="I63" i="41"/>
  <c r="D56" i="41"/>
  <c r="D67" i="41"/>
  <c r="I65" i="41"/>
  <c r="I67" i="41"/>
  <c r="C50" i="41"/>
  <c r="C20" i="41"/>
  <c r="D20" i="41"/>
  <c r="E20" i="41"/>
  <c r="F20" i="41"/>
  <c r="G20" i="41"/>
  <c r="G33" i="41"/>
  <c r="G34" i="41"/>
  <c r="G35" i="41"/>
  <c r="G37" i="41"/>
  <c r="C21" i="41"/>
  <c r="C22" i="41"/>
  <c r="C23" i="41"/>
  <c r="C25" i="41"/>
  <c r="C26" i="41"/>
  <c r="C27" i="41"/>
  <c r="C28" i="41"/>
  <c r="C29" i="41"/>
  <c r="C30" i="41"/>
  <c r="C39" i="41"/>
  <c r="D21" i="41"/>
  <c r="D22" i="41"/>
  <c r="D23" i="41"/>
  <c r="D25" i="41"/>
  <c r="D26" i="41"/>
  <c r="D27" i="41"/>
  <c r="D28" i="41"/>
  <c r="D29" i="41"/>
  <c r="D30" i="41"/>
  <c r="D39" i="41"/>
  <c r="E21" i="41"/>
  <c r="E22" i="41"/>
  <c r="E23" i="41"/>
  <c r="E25" i="41"/>
  <c r="E26" i="41"/>
  <c r="E27" i="41"/>
  <c r="E28" i="41"/>
  <c r="E29" i="41"/>
  <c r="E30" i="41"/>
  <c r="E39" i="41"/>
  <c r="F21" i="41"/>
  <c r="F22" i="41"/>
  <c r="F23" i="41"/>
  <c r="F25" i="41"/>
  <c r="F26" i="41"/>
  <c r="F27" i="41"/>
  <c r="F28" i="41"/>
  <c r="F29" i="41"/>
  <c r="F30" i="41"/>
  <c r="F39" i="41"/>
  <c r="G21" i="41"/>
  <c r="G22" i="41"/>
  <c r="G23" i="41"/>
  <c r="G25" i="41"/>
  <c r="G26" i="41"/>
  <c r="G27" i="41"/>
  <c r="G28" i="41"/>
  <c r="G29" i="41"/>
  <c r="G30" i="41"/>
  <c r="G39" i="41"/>
  <c r="G40" i="41"/>
  <c r="G42" i="41"/>
  <c r="F33" i="41"/>
  <c r="F34" i="41"/>
  <c r="F35" i="41"/>
  <c r="F37" i="41"/>
  <c r="F40" i="41"/>
  <c r="F42" i="41"/>
  <c r="E33" i="41"/>
  <c r="E34" i="41"/>
  <c r="E35" i="41"/>
  <c r="E37" i="41"/>
  <c r="E40" i="41"/>
  <c r="E42" i="41"/>
  <c r="D33" i="41"/>
  <c r="D34" i="41"/>
  <c r="D35" i="41"/>
  <c r="D37" i="41"/>
  <c r="D40" i="41"/>
  <c r="D42" i="41"/>
  <c r="C33" i="41"/>
  <c r="C34" i="41"/>
  <c r="C35" i="41"/>
  <c r="C37" i="41"/>
  <c r="C38" i="41"/>
  <c r="C40" i="41"/>
  <c r="C42" i="41"/>
  <c r="G24" i="41"/>
  <c r="F24" i="41"/>
  <c r="E24" i="41"/>
  <c r="D24" i="41"/>
  <c r="C24" i="41"/>
  <c r="G19" i="41"/>
  <c r="F19" i="41"/>
  <c r="E19" i="41"/>
  <c r="D19" i="41"/>
  <c r="B19" i="41"/>
  <c r="B68" i="29"/>
  <c r="B70" i="29"/>
  <c r="B72" i="29"/>
  <c r="B74" i="29"/>
</calcChain>
</file>

<file path=xl/comments1.xml><?xml version="1.0" encoding="utf-8"?>
<comments xmlns="http://schemas.openxmlformats.org/spreadsheetml/2006/main">
  <authors>
    <author>abc</author>
  </authors>
  <commentList>
    <comment ref="B122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enter as negative</t>
        </r>
      </text>
    </comment>
    <comment ref="B123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formula sums rows 9 &amp; 10
</t>
        </r>
      </text>
    </comment>
    <comment ref="B168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enter as -
</t>
        </r>
      </text>
    </comment>
  </commentList>
</comments>
</file>

<file path=xl/comments2.xml><?xml version="1.0" encoding="utf-8"?>
<comments xmlns="http://schemas.openxmlformats.org/spreadsheetml/2006/main">
  <authors>
    <author>abc</author>
  </authors>
  <commentList>
    <comment ref="A3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enter inflows (revenue) as +
enter outflows (expenses) 
as -</t>
        </r>
      </text>
    </comment>
    <comment ref="H8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main driver for forecast</t>
        </r>
      </text>
    </comment>
    <comment ref="B9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enter as negative</t>
        </r>
      </text>
    </comment>
    <comment ref="H9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use historical ratio or strategic plan</t>
        </r>
      </text>
    </comment>
    <comment ref="N9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note purpose of - sign in formula</t>
        </r>
      </text>
    </comment>
    <comment ref="B10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formula sums rows 9 &amp; 10
</t>
        </r>
      </text>
    </comment>
    <comment ref="H11" authorId="0">
      <text>
        <r>
          <rPr>
            <b/>
            <sz val="8"/>
            <color indexed="81"/>
            <rFont val="Tahoma"/>
          </rPr>
          <t xml:space="preserve">abc:
use </t>
        </r>
        <r>
          <rPr>
            <sz val="8"/>
            <color indexed="81"/>
            <rFont val="Tahoma"/>
          </rPr>
          <t>history as a guide-no formula</t>
        </r>
        <r>
          <rPr>
            <b/>
            <sz val="8"/>
            <color indexed="81"/>
            <rFont val="Tahoma"/>
          </rPr>
          <t xml:space="preserve">
</t>
        </r>
      </text>
    </comment>
    <comment ref="H12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use historical ratio or strategic plan</t>
        </r>
      </text>
    </comment>
    <comment ref="H13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historical ratio or strategic plan</t>
        </r>
      </text>
    </comment>
    <comment ref="H14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depreciation expense is a % of ppe, determine %age</t>
        </r>
      </text>
    </comment>
    <comment ref="H15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historical ratio or strategic plan
</t>
        </r>
      </text>
    </comment>
    <comment ref="H16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
</t>
        </r>
      </text>
    </comment>
    <comment ref="H20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21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23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use historical or anticipated tax rate</t>
        </r>
      </text>
    </comment>
    <comment ref="H25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26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28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enter payout ratio - if constant of growing dollar dividend, change formula in M28
.Q28
</t>
        </r>
      </text>
    </comment>
    <comment ref="H29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39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47" authorId="0">
      <text>
        <r>
          <rPr>
            <b/>
            <sz val="8"/>
            <color indexed="81"/>
            <rFont val="Tahoma"/>
          </rPr>
          <t xml:space="preserve">abc:
</t>
        </r>
        <r>
          <rPr>
            <sz val="8"/>
            <color indexed="81"/>
            <rFont val="Tahoma"/>
          </rPr>
          <t xml:space="preserve">cash as % of revenue - if not, change forecast formulas
</t>
        </r>
      </text>
    </comment>
    <comment ref="H48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49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enter number of days from history or changed policy (stategy)
</t>
        </r>
      </text>
    </comment>
    <comment ref="H50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enter number of days from history or changed policy (stategy)</t>
        </r>
      </text>
    </comment>
    <comment ref="H51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54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not from a historical ratio-depends on planned new capital spending</t>
        </r>
      </text>
    </comment>
    <comment ref="B55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enter as -
</t>
        </r>
      </text>
    </comment>
    <comment ref="H55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no entry required -accumulated deprec is previous balance plus current-year deprec expense from inc statement -- if otherwise, must change formulas in M55.Q55
</t>
        </r>
      </text>
    </comment>
    <comment ref="H57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58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59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60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66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enter number of days from history or changed policy (stategy)</t>
        </r>
      </text>
    </comment>
    <comment ref="H67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68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or 30 days taxes
</t>
        </r>
      </text>
    </comment>
    <comment ref="H69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70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71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</t>
        </r>
      </text>
    </comment>
    <comment ref="H74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75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76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77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78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82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83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84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85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history as a guide - no formula</t>
        </r>
      </text>
    </comment>
    <comment ref="H86" authorId="0">
      <text>
        <r>
          <rPr>
            <b/>
            <sz val="8"/>
            <color indexed="81"/>
            <rFont val="Tahoma"/>
          </rPr>
          <t>abc:</t>
        </r>
        <r>
          <rPr>
            <sz val="8"/>
            <color indexed="81"/>
            <rFont val="Tahoma"/>
          </rPr>
          <t xml:space="preserve">
no entry required ---previous period retained earnings plus current year net profit less dividends from inc statement </t>
        </r>
      </text>
    </comment>
  </commentList>
</comments>
</file>

<file path=xl/sharedStrings.xml><?xml version="1.0" encoding="utf-8"?>
<sst xmlns="http://schemas.openxmlformats.org/spreadsheetml/2006/main" count="1444" uniqueCount="769">
  <si>
    <t>Group work is encouraged…but…when you write your answers in this template, the work must be your own independent work.</t>
    <phoneticPr fontId="9" type="noConversion"/>
  </si>
  <si>
    <t>Doing otherwise violates academic integrity rules.</t>
    <phoneticPr fontId="9" type="noConversion"/>
  </si>
  <si>
    <t xml:space="preserve"> </t>
    <phoneticPr fontId="9" type="noConversion"/>
  </si>
  <si>
    <t>none</t>
    <phoneticPr fontId="9" type="noConversion"/>
  </si>
  <si>
    <t>none</t>
    <phoneticPr fontId="9" type="noConversion"/>
  </si>
  <si>
    <t>none</t>
    <phoneticPr fontId="9" type="noConversion"/>
  </si>
  <si>
    <t xml:space="preserve">   FREE CASH FLOW MODEL SCENARIO B</t>
    <phoneticPr fontId="9" type="noConversion"/>
  </si>
  <si>
    <t xml:space="preserve"> </t>
    <phoneticPr fontId="9" type="noConversion"/>
  </si>
  <si>
    <t xml:space="preserve"> </t>
    <phoneticPr fontId="9" type="noConversion"/>
  </si>
  <si>
    <t xml:space="preserve"> </t>
    <phoneticPr fontId="9" type="noConversion"/>
  </si>
  <si>
    <t xml:space="preserve"> </t>
    <phoneticPr fontId="9" type="noConversion"/>
  </si>
  <si>
    <t xml:space="preserve"> </t>
    <phoneticPr fontId="9" type="noConversion"/>
  </si>
  <si>
    <t>as a line item in the 2004-2008 balance sheets…it is included in the EFR. Short-term borrowing must be zeroed</t>
    <phoneticPr fontId="9" type="noConversion"/>
  </si>
  <si>
    <t>in the forecast because there is no assurance that such borrowing will exist in the future.</t>
    <phoneticPr fontId="9" type="noConversion"/>
  </si>
  <si>
    <t>A decline in EFR year-to-year implies that loan principal can be repaid.</t>
    <phoneticPr fontId="9" type="noConversion"/>
  </si>
  <si>
    <t>this is crucial - it's worth re-reading the Cohen Finance Workbook from page 45</t>
    <phoneticPr fontId="9" type="noConversion"/>
  </si>
  <si>
    <t>ALL OTHER ASSUMPTIONS ARE HELD CONSTANT FOR THIS EXAMPLE.</t>
    <phoneticPr fontId="9" type="noConversion"/>
  </si>
  <si>
    <t>From the forecast</t>
    <phoneticPr fontId="9" type="noConversion"/>
  </si>
  <si>
    <t xml:space="preserve">From the forecast </t>
    <phoneticPr fontId="9" type="noConversion"/>
  </si>
  <si>
    <t>Base year 2003 from balance sheet</t>
    <phoneticPr fontId="9" type="noConversion"/>
  </si>
  <si>
    <t>SCENARIO B</t>
    <phoneticPr fontId="9" type="noConversion"/>
  </si>
  <si>
    <t>SCENARIO A</t>
    <phoneticPr fontId="9" type="noConversion"/>
  </si>
  <si>
    <t>Base year 2003 from balance sheet-see calculation at row 36</t>
    <phoneticPr fontId="9" type="noConversion"/>
  </si>
  <si>
    <t>From the forecast, 2003 base year is 157</t>
    <phoneticPr fontId="9" type="noConversion"/>
  </si>
  <si>
    <t>Q1 - Answer in the box below.</t>
    <phoneticPr fontId="9" type="noConversion"/>
  </si>
  <si>
    <t>The data for that sale, a peer company, are already entered for you, in the Q2 Market Multiples template, cells B4.B7.</t>
    <phoneticPr fontId="9" type="noConversion"/>
  </si>
  <si>
    <t>Pps 102-105 explain how to use Market Multiples template</t>
    <phoneticPr fontId="9" type="noConversion"/>
  </si>
  <si>
    <t>Net working capital from balance sheet forecast</t>
  </si>
  <si>
    <t>Redundant Assets</t>
  </si>
  <si>
    <t>Mark Cartwright is trying to sell his business. He asked you, as a GW MBA, to value the business for him, so he can decide how to price it.</t>
    <phoneticPr fontId="9" type="noConversion"/>
  </si>
  <si>
    <t>Long-term debt to equity</t>
  </si>
  <si>
    <t>Times interest earned</t>
  </si>
  <si>
    <t xml:space="preserve"> </t>
    <phoneticPr fontId="9" type="noConversion"/>
  </si>
  <si>
    <t>Full burden coverage</t>
  </si>
  <si>
    <t>Asset-Use (Efficiency) Ratios</t>
  </si>
  <si>
    <t>Asset-Use Ratios</t>
  </si>
  <si>
    <t>Fixed asset turnover</t>
  </si>
  <si>
    <t>Total asset turnover</t>
  </si>
  <si>
    <t>Profitability Ratios</t>
  </si>
  <si>
    <t>Gross margin</t>
  </si>
  <si>
    <t>Operating profit margin</t>
  </si>
  <si>
    <t>Return on sales</t>
  </si>
  <si>
    <t>Return on total assets</t>
  </si>
  <si>
    <t>Return on equity (ROE)</t>
  </si>
  <si>
    <t>Return on invested capital (ROIC)</t>
  </si>
  <si>
    <t>DuPont Formula - ROE</t>
  </si>
  <si>
    <t xml:space="preserve">  Profitability</t>
  </si>
  <si>
    <t xml:space="preserve">  Efficiency</t>
  </si>
  <si>
    <t xml:space="preserve">  Leverage</t>
  </si>
  <si>
    <t>ROE Check</t>
  </si>
  <si>
    <t>Compound Annual Growth Rates</t>
  </si>
  <si>
    <t>Revenues</t>
  </si>
  <si>
    <t>NA</t>
  </si>
  <si>
    <t>WARNING: Forecasted ratios may not make sense unless all line items in the income statement and</t>
  </si>
  <si>
    <t>balance sheet forecast are properly forecasted. This may not occur until the second iteration of the</t>
  </si>
  <si>
    <t>forecast, when a determination has been made about whether EFN will come from debt or equity sources,</t>
    <phoneticPr fontId="9" type="noConversion"/>
  </si>
  <si>
    <t>I.e., EFN = 0, and the finance costs on the income statement are consistent with the amount of debt</t>
    <phoneticPr fontId="9" type="noConversion"/>
  </si>
  <si>
    <t>ASSETS</t>
  </si>
  <si>
    <t>FINANCIAL STATEMENT FORECAST &amp; EXTERNAL FINANCING NEEDED  ANALYSIS</t>
  </si>
  <si>
    <t>enter data in blue cells only - see comment boxes</t>
  </si>
  <si>
    <t>Read chapter 6 on equity valuation</t>
    <phoneticPr fontId="9" type="noConversion"/>
  </si>
  <si>
    <t>Cost of Capital material starts on p 70 - already assigned.</t>
    <phoneticPr fontId="9" type="noConversion"/>
  </si>
  <si>
    <t>Cost of Capital Template explained on p 75 - already assigned, should be familiar by now</t>
    <phoneticPr fontId="9" type="noConversion"/>
  </si>
  <si>
    <t>Earnings per share - fully diluted</t>
  </si>
  <si>
    <t>Dividends per share</t>
  </si>
  <si>
    <t>Price/earnings ratio</t>
  </si>
  <si>
    <t>Common shares outstanding</t>
  </si>
  <si>
    <t>…………………..historical……………………………..</t>
  </si>
  <si>
    <t>AS OF DECEMBER 31</t>
  </si>
  <si>
    <t>Current assets:</t>
  </si>
  <si>
    <t>Cash &amp; equivalents</t>
  </si>
  <si>
    <t>% of revenue</t>
  </si>
  <si>
    <t>NWC Calculation</t>
  </si>
  <si>
    <t>days revenues</t>
  </si>
  <si>
    <t>Inventory</t>
  </si>
  <si>
    <t>days cost of sales</t>
  </si>
  <si>
    <t xml:space="preserve">   Total current assets</t>
  </si>
  <si>
    <t>Non-current assets:</t>
  </si>
  <si>
    <t>Property, plant &amp; equipment-gross</t>
  </si>
  <si>
    <t>estimated capex</t>
  </si>
  <si>
    <t>Accumulated deprec. &amp; amort.</t>
  </si>
  <si>
    <t>by formula</t>
  </si>
  <si>
    <t>Property, plant &amp; equipment-net</t>
  </si>
  <si>
    <t>Other 1</t>
  </si>
  <si>
    <t>Other 2</t>
  </si>
  <si>
    <t xml:space="preserve">   Total non-current assets</t>
  </si>
  <si>
    <t xml:space="preserve">     Total assets</t>
  </si>
  <si>
    <t>Current liabilities:</t>
  </si>
  <si>
    <t>Trade &amp; other payables</t>
  </si>
  <si>
    <t>%age  of curr inc tax</t>
  </si>
  <si>
    <t>Leases due in 1 year</t>
  </si>
  <si>
    <t>Loans, debt due in 1 year</t>
  </si>
  <si>
    <t>Non-current liabilities:</t>
  </si>
  <si>
    <t>Finance leases due after 1 year</t>
  </si>
  <si>
    <t>Loans, debts due after 1 year</t>
  </si>
  <si>
    <t xml:space="preserve">  Total non-current liabilities</t>
  </si>
  <si>
    <t>Stockholder's equity:</t>
  </si>
  <si>
    <t>Paid-in surplus</t>
  </si>
  <si>
    <t>EBIT CHART</t>
  </si>
  <si>
    <t>5-EQUITY VALUATION</t>
  </si>
  <si>
    <t>EQUITY</t>
  </si>
  <si>
    <t>I/S, B/S, &amp; RATIOS</t>
  </si>
  <si>
    <t>LONG-FORM FORECAST</t>
  </si>
  <si>
    <r>
      <t>4-FORECAST &amp;</t>
    </r>
    <r>
      <rPr>
        <sz val="8"/>
        <color indexed="10"/>
        <rFont val="Arial"/>
        <family val="2"/>
      </rPr>
      <t xml:space="preserve"> EFN</t>
    </r>
  </si>
  <si>
    <t>3-CAPITAL BUDGETING</t>
  </si>
  <si>
    <t>EFN</t>
  </si>
  <si>
    <t>outstanding. Rows in red font have the 'incomplete' ratios, because these ratios will change</t>
    <phoneticPr fontId="9" type="noConversion"/>
  </si>
  <si>
    <t>when any category of debt or equity changes, reflecting new financing, which in the case of debt,</t>
    <phoneticPr fontId="9" type="noConversion"/>
  </si>
  <si>
    <t>causes finance cost of change.</t>
    <phoneticPr fontId="9" type="noConversion"/>
  </si>
  <si>
    <t>prev r/e + curr reinv prof</t>
  </si>
  <si>
    <t xml:space="preserve">  Total equity </t>
  </si>
  <si>
    <t xml:space="preserve">  Total equity</t>
  </si>
  <si>
    <t xml:space="preserve">    Total liabilities &amp; equity</t>
  </si>
  <si>
    <t>EXTERNAL FINANCING NEEDED:</t>
  </si>
  <si>
    <t>FINANCIAL RATIOS</t>
  </si>
  <si>
    <t>…………………….historical…………………………..</t>
  </si>
  <si>
    <t>YEAR</t>
  </si>
  <si>
    <t>Liquidity Ratios</t>
  </si>
  <si>
    <t>……………warning-see below……………………..</t>
  </si>
  <si>
    <t>Current ratio</t>
  </si>
  <si>
    <t>Quick ratio</t>
  </si>
  <si>
    <t>Days sales in receivables</t>
  </si>
  <si>
    <t xml:space="preserve"> </t>
    <phoneticPr fontId="9" type="noConversion"/>
  </si>
  <si>
    <t>Day's sales in receivables</t>
  </si>
  <si>
    <t>Days cost of sales in inventory</t>
  </si>
  <si>
    <t>Day's cost of sales in inventory</t>
  </si>
  <si>
    <t>Days cost of sales in payables</t>
  </si>
  <si>
    <t>Day's cost of sales in payables</t>
  </si>
  <si>
    <t>Leverage Ratios</t>
  </si>
  <si>
    <t>Long-term debt to total capital</t>
  </si>
  <si>
    <t>Short-term loans, leases</t>
  </si>
  <si>
    <t xml:space="preserve">   Total cost and expenses</t>
  </si>
  <si>
    <t>Tax liabilities</t>
  </si>
  <si>
    <t>Trade receivables</t>
  </si>
  <si>
    <t>Other operating expenses</t>
  </si>
  <si>
    <t xml:space="preserve">   ?what projects to accept?</t>
  </si>
  <si>
    <t>Other accruals</t>
  </si>
  <si>
    <t>Investments</t>
  </si>
  <si>
    <t>Other operating income</t>
  </si>
  <si>
    <t>Trade payables</t>
  </si>
  <si>
    <t xml:space="preserve">Cash </t>
  </si>
  <si>
    <t>Gross profit</t>
  </si>
  <si>
    <t xml:space="preserve">   ?what levels of ca, cl, s-t loans?</t>
  </si>
  <si>
    <t>Current liabilities</t>
  </si>
  <si>
    <t>Current assets</t>
  </si>
  <si>
    <t>Cost of sales</t>
  </si>
  <si>
    <t xml:space="preserve">   spontaneous change with revenue</t>
  </si>
  <si>
    <t>LIABILITIES AND EQUITY</t>
  </si>
  <si>
    <t>Cost of goods sold</t>
  </si>
  <si>
    <t>Net sales</t>
  </si>
  <si>
    <t>Forecast</t>
  </si>
  <si>
    <t>Equations</t>
  </si>
  <si>
    <t>Owner's equity (net worth)</t>
  </si>
  <si>
    <t>Current liabilities/ net sales</t>
  </si>
  <si>
    <t>Current assets/net sales</t>
  </si>
  <si>
    <t>Dividend/earnings after tax</t>
  </si>
  <si>
    <t>Tax rate</t>
  </si>
  <si>
    <t>PERFECTION IS NOT EXPECTED. THIS IS WORK-IN-PROCESS;</t>
    <phoneticPr fontId="9" type="noConversion"/>
  </si>
  <si>
    <t>NOT FINISHED PRODUCT…I.E., A LEARNING EXPERIENCE.</t>
    <phoneticPr fontId="9" type="noConversion"/>
  </si>
  <si>
    <t>BUT, YOU MUST MAKE A CLEAR RECOMMENDATION BASED ON THE</t>
    <phoneticPr fontId="9" type="noConversion"/>
  </si>
  <si>
    <t xml:space="preserve"> </t>
    <phoneticPr fontId="9" type="noConversion"/>
  </si>
  <si>
    <t>Retained earnings</t>
  </si>
  <si>
    <t>Common stock</t>
  </si>
  <si>
    <t xml:space="preserve"> </t>
    <phoneticPr fontId="9" type="noConversion"/>
  </si>
  <si>
    <t>Case</t>
    <phoneticPr fontId="9" type="noConversion"/>
  </si>
  <si>
    <t>Questions</t>
    <phoneticPr fontId="9" type="noConversion"/>
  </si>
  <si>
    <t>Learning Objectives</t>
    <phoneticPr fontId="9" type="noConversion"/>
  </si>
  <si>
    <t>Inventories</t>
  </si>
  <si>
    <t>MARKET MULTIPLES: P/E, MV/BV, REV, EBIT</t>
  </si>
  <si>
    <t>see warning at H133</t>
  </si>
  <si>
    <t>CARTWRIGHT</t>
    <phoneticPr fontId="9" type="noConversion"/>
  </si>
  <si>
    <t>……………………historical…………………………….</t>
  </si>
  <si>
    <t xml:space="preserve">  ………………………….forecast assumptions…………………………………..</t>
  </si>
  <si>
    <t xml:space="preserve">  ………………….forecast……………………..</t>
  </si>
  <si>
    <t>PERIOD</t>
  </si>
  <si>
    <t>JANUARY 1-DECEMBER 31</t>
  </si>
  <si>
    <t>revenue growth rate</t>
  </si>
  <si>
    <t>cost of sales/revenue</t>
  </si>
  <si>
    <t>estimated amount</t>
  </si>
  <si>
    <t>Distribution costs</t>
  </si>
  <si>
    <t>cost/revenue</t>
  </si>
  <si>
    <t>Administrative costs</t>
  </si>
  <si>
    <t>Depreciation &amp; amortization expense</t>
  </si>
  <si>
    <t>% of ppe</t>
  </si>
  <si>
    <t>Other operating costs</t>
  </si>
  <si>
    <t>Restructuring costs</t>
  </si>
  <si>
    <t xml:space="preserve">   Total operating costs</t>
  </si>
  <si>
    <t>Profit from operations (EBIT)</t>
  </si>
  <si>
    <t xml:space="preserve">  </t>
  </si>
  <si>
    <t>Interest, financing expense</t>
  </si>
  <si>
    <t>Income from investments</t>
  </si>
  <si>
    <t>Disposal of operations</t>
  </si>
  <si>
    <t>average tax rate</t>
  </si>
  <si>
    <t>Profit after tax</t>
  </si>
  <si>
    <t>Minority interest</t>
  </si>
  <si>
    <t xml:space="preserve">Other </t>
  </si>
  <si>
    <t>Net profit</t>
  </si>
  <si>
    <t>payout ratio</t>
  </si>
  <si>
    <t>Other</t>
  </si>
  <si>
    <t>PER SHARE DATA</t>
  </si>
  <si>
    <t>Market price</t>
  </si>
  <si>
    <t>Extraordinary items per share</t>
  </si>
  <si>
    <t>Earnings per share - primary</t>
  </si>
  <si>
    <t xml:space="preserve">                                       BALANCE SHEET</t>
  </si>
  <si>
    <t>INCOME STATEMENT</t>
  </si>
  <si>
    <t xml:space="preserve">THE PURPOSE OF THE ASSIGNMENT IS TO LEARN THE PROCESS OF </t>
    <phoneticPr fontId="9" type="noConversion"/>
  </si>
  <si>
    <t>FINANCIAL STATEMENT ANALYSIS AND FORECASTING.</t>
    <phoneticPr fontId="9" type="noConversion"/>
  </si>
  <si>
    <t xml:space="preserve">RESULTS OF YOUR ANALYSIS. </t>
    <phoneticPr fontId="9" type="noConversion"/>
  </si>
  <si>
    <t>VALUATION</t>
  </si>
  <si>
    <t>K-WACC</t>
  </si>
  <si>
    <t>OP &amp; CAP NATCF, NPV, IRR, PAYBACK</t>
  </si>
  <si>
    <t>CAPITAL BUDGETING</t>
  </si>
  <si>
    <t>timing</t>
  </si>
  <si>
    <t>flexblty</t>
  </si>
  <si>
    <t>mktblty</t>
  </si>
  <si>
    <t>control</t>
  </si>
  <si>
    <t>risk</t>
  </si>
  <si>
    <t>income</t>
  </si>
  <si>
    <t>6-FINANCING</t>
  </si>
  <si>
    <t>Interest rate</t>
  </si>
  <si>
    <t>Current portion long-term debt</t>
  </si>
  <si>
    <t>GS&amp;A expenses/net sales</t>
  </si>
  <si>
    <t>Cost of goods sold/net sales</t>
  </si>
  <si>
    <t>Growth rate in net sales</t>
  </si>
  <si>
    <t>Net Sales</t>
  </si>
  <si>
    <t>ENTER DATA IN BLUE-COLORED CELLS</t>
  </si>
  <si>
    <t>Preferred stock</t>
  </si>
  <si>
    <t xml:space="preserve">   Total liabilities</t>
  </si>
  <si>
    <t>Long-term debt</t>
  </si>
  <si>
    <t xml:space="preserve">   Total current liabilities</t>
  </si>
  <si>
    <t>Year</t>
  </si>
  <si>
    <t>EXTERNAL FUNDING REQUIRED</t>
  </si>
  <si>
    <t xml:space="preserve">    shareholder's equity</t>
  </si>
  <si>
    <t xml:space="preserve">Total liabilities and </t>
  </si>
  <si>
    <t>Equity</t>
  </si>
  <si>
    <t>=C7</t>
  </si>
  <si>
    <t>Total assets</t>
  </si>
  <si>
    <t>=C13</t>
  </si>
  <si>
    <t>Net fixed assets</t>
  </si>
  <si>
    <t>BALANCE SHEET</t>
  </si>
  <si>
    <t>=C26-C27</t>
  </si>
  <si>
    <t>Additions to retained earnings</t>
  </si>
  <si>
    <t>Dividends paid</t>
  </si>
  <si>
    <t>=C24-C25</t>
  </si>
  <si>
    <t>Earnings after tax</t>
  </si>
  <si>
    <t>Tax</t>
  </si>
  <si>
    <t>Earnings before tax</t>
  </si>
  <si>
    <t>GSA expense</t>
  </si>
  <si>
    <t>I/S &amp; B/S FORECAST</t>
  </si>
  <si>
    <t>HISTORICAL RATIOS</t>
  </si>
  <si>
    <t>2-K-WACC</t>
  </si>
  <si>
    <t>DEBT</t>
  </si>
  <si>
    <t>1-HISTORICAL RATIOS</t>
  </si>
  <si>
    <t>DEBT  EQUITY</t>
  </si>
  <si>
    <t>FINANCING</t>
  </si>
  <si>
    <t>ANALYSIS STEPS:</t>
  </si>
  <si>
    <t>COST OF CAPITAL</t>
  </si>
  <si>
    <t xml:space="preserve">   Total liabilities &amp; equity</t>
  </si>
  <si>
    <t xml:space="preserve">   Total assets</t>
  </si>
  <si>
    <t xml:space="preserve">CASH FLOW   </t>
  </si>
  <si>
    <t>Reinvested in the business</t>
  </si>
  <si>
    <t xml:space="preserve">                          K-WACC</t>
  </si>
  <si>
    <t>Dividends</t>
  </si>
  <si>
    <t xml:space="preserve">   Total non-current liabilities</t>
  </si>
  <si>
    <t>Net profit after tax</t>
  </si>
  <si>
    <t>Revenue</t>
  </si>
  <si>
    <t>EBIT</t>
  </si>
  <si>
    <t>FINANCIAL LEVERAGE</t>
  </si>
  <si>
    <t>COST OF EQUITY</t>
  </si>
  <si>
    <t>OPERATING LEVERAGE</t>
  </si>
  <si>
    <t>Deferred tax liabilities</t>
  </si>
  <si>
    <t>Goodwill</t>
  </si>
  <si>
    <t>Income tax</t>
  </si>
  <si>
    <t>COST OF DEBT</t>
  </si>
  <si>
    <t>Retirement benefit obligation</t>
  </si>
  <si>
    <t>Investment property</t>
  </si>
  <si>
    <t>Profit before tax</t>
  </si>
  <si>
    <t>Loans, debt, leases due after 1 year</t>
  </si>
  <si>
    <t>Property, plant &amp; equipment</t>
  </si>
  <si>
    <t>Interest expense</t>
  </si>
  <si>
    <t>Non-current liabilities</t>
  </si>
  <si>
    <t>Non-current assets</t>
  </si>
  <si>
    <t>Operating profit (EBIT)</t>
  </si>
  <si>
    <t xml:space="preserve">  ?what is the debt capacity?</t>
  </si>
  <si>
    <t>1.1% increase in efficiency and significant 10.6% decrease in profitability.</t>
  </si>
  <si>
    <t>Note that decrease in profitability is caused by increased interest expense, not operations…because operating profit</t>
  </si>
  <si>
    <t>margin increased 8.3%.</t>
  </si>
  <si>
    <t>Cartwright's business risk driven by changes in sales and changes in operating expenses, which drive changes in EBIT.</t>
  </si>
  <si>
    <t>BUSINESS RISK is coded GREEN on IS/BS Model,</t>
  </si>
  <si>
    <t>On the operating expense side, business risk is low because of cost control and efficient operations - controllable by</t>
  </si>
  <si>
    <t>linking IS and BS. It is analogous to OPERATING LEVERAGE;</t>
  </si>
  <si>
    <t>Mr. Cartwright.</t>
  </si>
  <si>
    <t>variation in EBIT driven by variations in sales and operating expenses.</t>
  </si>
  <si>
    <t>On the sales side, he has less control, subject to economic forces and competition. His customer and supplier relationships</t>
  </si>
  <si>
    <t>always be aware of numerator and denominator</t>
  </si>
  <si>
    <t>and how they change…extent of change in numerator</t>
  </si>
  <si>
    <t>and extent of change in denominator…think analytically</t>
  </si>
  <si>
    <t xml:space="preserve">Excel HINT: Copy ratios from below using copy, </t>
  </si>
  <si>
    <t>Liquidity is in decline for all ratios above. Quick ratio decline exceeds current ratio decline because days in rec increased more</t>
  </si>
  <si>
    <t>then Paste Special, VALUES.</t>
  </si>
  <si>
    <t>than increase in inventory. Customers are taking longer to pay. Is it Cartwright's choice or customers'?</t>
  </si>
  <si>
    <t>Day payables increased the most - indicating trouble in paying suppliers on time.</t>
  </si>
  <si>
    <t>calculate %age change in Col H as</t>
  </si>
  <si>
    <t>(ending amount-beginning amount)/beginning amount-</t>
  </si>
  <si>
    <t>see formulas in cells</t>
  </si>
  <si>
    <t>By every meassure, debt is increasing, substantially, increasing financial risk.</t>
  </si>
  <si>
    <t>Fixed asset turnover is healthy, indicating that fixed assets (growing little) drive increased sales.</t>
  </si>
  <si>
    <t>Total asset turnover changes little, because receivables and inventory are increasing as sales increases.</t>
  </si>
  <si>
    <t>Gross margin (GM)</t>
  </si>
  <si>
    <t>ENTERPRISE VALUE USING FREE CASH FLOW</t>
  </si>
  <si>
    <t xml:space="preserve">THERE IS NO SINGLE CORRECT ANSWER TO THIS CASE. </t>
    <phoneticPr fontId="9" type="noConversion"/>
  </si>
  <si>
    <t xml:space="preserve"> </t>
  </si>
  <si>
    <t xml:space="preserve">WORKING CAPITAL </t>
  </si>
  <si>
    <t>st debt to debt</t>
  </si>
  <si>
    <t>If the bank does not roll over the short-term loan, and Cartwright can't find another lender, he would be forced</t>
  </si>
  <si>
    <t>to liquidate the business to repay the loan, or face bankruptcy.</t>
  </si>
  <si>
    <t>New equity is off the table because Cartwright recently bought out his equity partner - he does not want a partner.</t>
  </si>
  <si>
    <t>Operations excellent, good customer relationships, good supplier relationships in spite of slow payment period.</t>
  </si>
  <si>
    <t xml:space="preserve">Growth rapid, but requires increasing financing of working capital (receivables and inventory). </t>
  </si>
  <si>
    <t>Increased interest expense on financing drags down profits (difference between EBIT and net profit) and weakens</t>
  </si>
  <si>
    <t xml:space="preserve">ratios. ROE growth misleading, driven by financial leverage more than operating performance. </t>
  </si>
  <si>
    <t>Use of temporary financing (short term) puts Cartwright under control of bank - no loan - no business. Temporary</t>
  </si>
  <si>
    <t>Operating profit margin (OPM)</t>
  </si>
  <si>
    <t>Return on sales (ROS)</t>
  </si>
  <si>
    <t>Return on total assets (ROTA)</t>
  </si>
  <si>
    <t>Small 1.3% gross margin decrease indicates small increase in cost of sales. Good 8.3% increase in operating profit margin</t>
  </si>
  <si>
    <t>indicates costs are well controlled and decreasing in face of rising sales - excellent performance. Big 10.6% drop on</t>
  </si>
  <si>
    <t>sales driven by interest expense (financial), not operations which are sound; same for return on assets decline.</t>
  </si>
  <si>
    <t>ROE increase driven by leverage increase-a negative. Solid ROIC increase driven by solid operating performance.</t>
  </si>
  <si>
    <t>1e: Interpret the DuPont Formula ratios by explaining if its four ratios are a valid substitute for the ratios in Q1a-1d above. Cite specifics.</t>
  </si>
  <si>
    <t>Profitability and efficiency ratios are the same; profitability is ROS and does not reveal GM or OPM.</t>
  </si>
  <si>
    <t>Leverage uses unique numerator &amp; denominator, no coverage ratio included, nothing on liquidity ratios, days in rec,invn,pay.</t>
  </si>
  <si>
    <t>Substantial ROE growth driven by large, significant  21.9% increase in leverage (financial risk) and small insignificant</t>
  </si>
  <si>
    <t>Preferred stock</t>
    <phoneticPr fontId="0" type="noConversion"/>
  </si>
  <si>
    <t>Common stock</t>
    <phoneticPr fontId="0" type="noConversion"/>
  </si>
  <si>
    <t>Additional paid-in-capital</t>
    <phoneticPr fontId="0" type="noConversion"/>
  </si>
  <si>
    <t>Retained earnings</t>
    <phoneticPr fontId="0" type="noConversion"/>
  </si>
  <si>
    <t>Reading</t>
  </si>
  <si>
    <t>=(C7+C8)*C9</t>
  </si>
  <si>
    <t>Assumptions:</t>
  </si>
  <si>
    <t>revenue</t>
  </si>
  <si>
    <t>net profit margin</t>
  </si>
  <si>
    <t>CURRENT ASSETS</t>
  </si>
  <si>
    <t>CURRENT LIABILITIES</t>
  </si>
  <si>
    <t>PAYABLES</t>
  </si>
  <si>
    <t>OTHER ACCRUALS</t>
  </si>
  <si>
    <t>CA/SALES</t>
  </si>
  <si>
    <t>CL/SALES</t>
  </si>
  <si>
    <t>FIXED ASSETS</t>
  </si>
  <si>
    <t>LONG-TERM DEBT</t>
  </si>
  <si>
    <t>PLANT</t>
  </si>
  <si>
    <t>PROPERTY</t>
  </si>
  <si>
    <t>EQUIPMENT</t>
  </si>
  <si>
    <t>EXTERNAL FINANCING NEEDED</t>
  </si>
  <si>
    <t>Discuss how the interest expense (row 25) calculation works and whether or not it includes the</t>
  </si>
  <si>
    <t>Q1a</t>
  </si>
  <si>
    <t>Q1b</t>
  </si>
  <si>
    <t>Q1c</t>
  </si>
  <si>
    <t>Q1d</t>
  </si>
  <si>
    <t>How much does Cartwright need to borrow and when? Explain by citing specifics from the forecast.</t>
  </si>
  <si>
    <t>Does Cartwright have the ability to pay the interest expense? Explain by citing specifics from the forecast.</t>
  </si>
  <si>
    <t>Does Cartwright have the ability to repay the loan principal? Explain by citing specifics from the forecast.</t>
  </si>
  <si>
    <t>Q2a</t>
  </si>
  <si>
    <t>Q2b</t>
  </si>
  <si>
    <t>significance to Cartwright's (and most other businesses too) external financing needs problem.</t>
  </si>
  <si>
    <t>Always consider degree of fixed cost in interpreting business risk - higher</t>
  </si>
  <si>
    <t>are good. He uses generous credit terms to build sales - but his customers (small builders) likely have cash flow problems</t>
  </si>
  <si>
    <t>percentage of fixed cost to total cost, higher business risk.</t>
  </si>
  <si>
    <t>of their own - so quality of receivables is low - bad debt risk.</t>
  </si>
  <si>
    <t>See Cohen finance book, p 28.</t>
  </si>
  <si>
    <t>Business risk is moderate, not on cost side, but on possibility of sales decline and collection of receivables.</t>
  </si>
  <si>
    <t>1g: Appraise Cartwright's 'financial risk'.</t>
    <phoneticPr fontId="6" type="noConversion"/>
  </si>
  <si>
    <t>it is increasing - and highly risky.</t>
  </si>
  <si>
    <t>FINANCIAL RISK is coded RED on IS/BS Model,</t>
  </si>
  <si>
    <t xml:space="preserve">Most of his debt (82.8%) is short term debt, not revealed in the ratio analysis. </t>
  </si>
  <si>
    <t>linking IS and BS. Interest expense is a fixed cost, the driver</t>
  </si>
  <si>
    <t>short term debt</t>
  </si>
  <si>
    <t>debt</t>
  </si>
  <si>
    <t>behind FINANCIAL LEVERAGE.</t>
  </si>
  <si>
    <t>long term debt</t>
  </si>
  <si>
    <t>debt+equity</t>
  </si>
  <si>
    <t>equity</t>
  </si>
  <si>
    <t>ratio</t>
  </si>
  <si>
    <t>See Cohen finance book, p 108.</t>
  </si>
  <si>
    <t>Revise the short-form forecast model from Q1, using the 'input cells zeroed' model at the top of this tab.</t>
  </si>
  <si>
    <t>how it helps Cartwright solve his external financing needed problem. Enter revised data in the blue cells, using your judgment.</t>
  </si>
  <si>
    <t>short term borrowing on the Cartwright balance sheet. HINT: What is the source of</t>
  </si>
  <si>
    <t>=B3+(B3*C4)</t>
  </si>
  <si>
    <t>=C5*C20</t>
  </si>
  <si>
    <t>=C20-C21</t>
  </si>
  <si>
    <t>=C6*C20</t>
  </si>
  <si>
    <t>=C22-C23</t>
  </si>
  <si>
    <t>=C10*C26</t>
  </si>
  <si>
    <t>=C11*C28</t>
  </si>
  <si>
    <t>=C28-C29</t>
  </si>
  <si>
    <t>=C12*C20</t>
  </si>
  <si>
    <t>=C33+C34</t>
  </si>
  <si>
    <t>=C14*C20</t>
  </si>
  <si>
    <t>=B15+C30</t>
  </si>
  <si>
    <t>=C37+C38+C39</t>
  </si>
  <si>
    <t>=C35-C40</t>
  </si>
  <si>
    <t xml:space="preserve">the data used in the ratio on row 14? </t>
  </si>
  <si>
    <t xml:space="preserve">Row 25 calculates interest expense by summing LTD plus CURRENT PORTION OF LTD, multiplying sum by the interest rate. Short-term debt is not </t>
  </si>
  <si>
    <t xml:space="preserve">included in the calculation, as if short-term debt is zero. </t>
  </si>
  <si>
    <t>The data in row 14, the assumption that forecasts current liabilities, does not include short-term debt.</t>
  </si>
  <si>
    <t xml:space="preserve">Therefore, EFR (EFN-same thing), the result of the forecast, must be interpreted in light of short-term debt being zero. </t>
  </si>
  <si>
    <t xml:space="preserve">Cells C14.G14 generate row 37 current liabilities; that row includes only those current liabilities that move up and down when </t>
  </si>
  <si>
    <t>sales moves up and down, i.e., borrowing is not included. If the numerator in C14.G14 had been 295 instead of 302, the interpretation</t>
  </si>
  <si>
    <t xml:space="preserve">would have been easier to make. The difference is 7 of current portion of long-term debt (295+7=302) which should not be in </t>
  </si>
  <si>
    <t>the numerator.</t>
  </si>
  <si>
    <t>That being said, the blue-cell assumptions can be judgments about how the future will look, not necessarily the same ratios from the prior year(s).</t>
  </si>
  <si>
    <t>financing of permanent needs is a dangerous plight for him to be in.</t>
  </si>
  <si>
    <t>Summary judgment: solid operating performance, underfinanced due to rapid growth increasing receivables and</t>
  </si>
  <si>
    <t>inventory, requiring increased borrowing from bank and suppliers…the segue to Wk 2 forecast.</t>
  </si>
  <si>
    <t>INCOME STATEMENTS</t>
    <phoneticPr fontId="6" type="noConversion"/>
  </si>
  <si>
    <t>Interest, finance costs</t>
    <phoneticPr fontId="0" type="noConversion"/>
  </si>
  <si>
    <t>Stockholder's equity (Net worth)</t>
    <phoneticPr fontId="0" type="noConversion"/>
  </si>
  <si>
    <t>He needs to borrow $321 by the end of 2004, increase it to $370 by end of 2005 ($50 more),</t>
  </si>
  <si>
    <t>increase it to $426 by end of 2006 ($56 more), then to $491 for 2007 ($65 more), and</t>
  </si>
  <si>
    <t>finally to $567 ($76 more) by end of 2008.</t>
  </si>
  <si>
    <t>He needs to borrow $567 to complete his 5-year growth plan.</t>
  </si>
  <si>
    <t>$321 means $321,000</t>
  </si>
  <si>
    <t>EFR</t>
  </si>
  <si>
    <t>change each year</t>
  </si>
  <si>
    <t>He could raise the EFR via equity instead of debt, of a combination of both…but the case says that he bought out Stark to eliminate his</t>
  </si>
  <si>
    <t>equity partner…so we can assume that he wants future financing to be all debt…if the banker is willing.</t>
  </si>
  <si>
    <t>Interest on LTD</t>
  </si>
  <si>
    <t>Interest on EFR as debt</t>
  </si>
  <si>
    <t>Total interest</t>
  </si>
  <si>
    <t>Interest coverage ratio</t>
  </si>
  <si>
    <t>He does have the ability to pay interest if EFR is raised via debt.</t>
  </si>
  <si>
    <t>He does not have the ability to repay the principal because EFR increases each year, showing that the loan principal</t>
  </si>
  <si>
    <t>increases, according to Q1b above.</t>
  </si>
  <si>
    <t xml:space="preserve">The left side of the balance sheet grows faster than the right side. </t>
  </si>
  <si>
    <t>Therefore, EFR (EFN) is needed to balance the balance sheet, to provide the missing sources of funds.</t>
  </si>
  <si>
    <t xml:space="preserve">Each $1 change in revenue requires that amount of change in Rec plus Invn. </t>
  </si>
  <si>
    <t>No change in PPE is shown for Cartwright.</t>
  </si>
  <si>
    <t>Generalizing to all businesses, if PPE is increased, then more USES of funds occurs.</t>
  </si>
  <si>
    <t>LTD does not change…it is a formal decision borrow or not, not generated by a change in revenue.</t>
  </si>
  <si>
    <t>The profit margin in I61 is another source of funds.</t>
  </si>
  <si>
    <t>According to the Q1 EFR forecast</t>
  </si>
  <si>
    <t>3rd and 4th years of the forecast, after 2006.</t>
  </si>
  <si>
    <t>Further, as pointed out in Q1, steadily rising EFR means</t>
  </si>
  <si>
    <t>no ability to repay the loan principal (he can pay only the annual interest).</t>
  </si>
  <si>
    <t>As the banker, assume a lower growth rate in sales, and explain, showing specifics from the revised forecast,</t>
  </si>
  <si>
    <t>Lower the growth rate of sales to 10% annually, EFR becomes:</t>
  </si>
  <si>
    <t>With 10% sales increase, borrowing on row 103 is lower than on row 94 and it decreases from year-to-year, indicating repayment of principal.</t>
  </si>
  <si>
    <t>With 5% sales increase, borrowing on row 104 is lower than on row 103, similarily decreasing.</t>
  </si>
  <si>
    <t>The essence is to match the growth rate of sales with available financing, not an easy thing to do when the business wants growth and the lender wants</t>
  </si>
  <si>
    <t xml:space="preserve">its money back. </t>
  </si>
  <si>
    <t>only sales growth rate changed, all other assumptions same as Q1</t>
  </si>
  <si>
    <t>C54 &amp; C55 show Cartwright's Rec and Invn, then D56 shows them as a % of sales (revenue).</t>
  </si>
  <si>
    <t>H54 &amp; H55 show Pay and Other Accruals, then I56 shows them as a % of total revenue.</t>
  </si>
  <si>
    <t xml:space="preserve">Each $1 change in revenue provides that amount of change in Pay plus Other Accr. </t>
  </si>
  <si>
    <t>Total sources of funds are 12.6; total uses oif funds are 27.3; the difference is EFR, 14.7</t>
  </si>
  <si>
    <t>According to the case, Northrup Bank may offer a maximum credit line of $465,000.</t>
  </si>
  <si>
    <t>the $465 loan limit would be exceeded between the</t>
  </si>
  <si>
    <t>the higher the growth rate, the greater is EFR.</t>
  </si>
  <si>
    <t>EFR, 0% sales growth</t>
  </si>
  <si>
    <t>No sales growth, almost 0 2008 loan balance</t>
  </si>
  <si>
    <t>Scoring:</t>
  </si>
  <si>
    <t>15 points @ for Q1a,b,c,d - total 60 points</t>
  </si>
  <si>
    <t>Wk2 assignment total 100 points</t>
  </si>
  <si>
    <t>points</t>
  </si>
  <si>
    <t>answer</t>
  </si>
  <si>
    <t>citing (C7+C8)*C9 or equivalent in words</t>
  </si>
  <si>
    <t>short-term borrowing not in balance sheet forecast</t>
  </si>
  <si>
    <t>knowing that EFR numbers are cumulative,</t>
  </si>
  <si>
    <t>not additive</t>
  </si>
  <si>
    <t>citing specific figures from row 42</t>
  </si>
  <si>
    <t>citing timing</t>
  </si>
  <si>
    <t>specific yes or no backed by specific numbers</t>
  </si>
  <si>
    <t>citing EBIT from which interest expense is paid</t>
  </si>
  <si>
    <t>citing interest expense on LT and ST debt</t>
  </si>
  <si>
    <t>total on Q1</t>
  </si>
  <si>
    <t>cite increasing EFR with correct interpretation</t>
  </si>
  <si>
    <t>numbers same as rows 71-73</t>
  </si>
  <si>
    <t>The fundament here is to interpret EFR correctly, consistent with the workings of the forecast…that short-term borrowing does not get forecasted</t>
  </si>
  <si>
    <t>revenue growth drives EFR</t>
  </si>
  <si>
    <t>SOLUTIONS CONTAIN MORE DETAIL</t>
  </si>
  <si>
    <t>THAN EXPECTED IN ANSWERS…</t>
  </si>
  <si>
    <t>TO ADVANCE THE UNDERSTANDING</t>
  </si>
  <si>
    <t>20 points @ for Q2a,b - total 40 points</t>
  </si>
  <si>
    <t>need for outside financing</t>
  </si>
  <si>
    <t>or something related to case</t>
  </si>
  <si>
    <t>evidence of revision in rows 4-14 above</t>
  </si>
  <si>
    <t>no need to revise all cells</t>
  </si>
  <si>
    <t>growth rate in sales must be cut</t>
  </si>
  <si>
    <t>discussion of revised EFR</t>
  </si>
  <si>
    <t>as lower than in Q1</t>
  </si>
  <si>
    <t>mentioning specifics</t>
  </si>
  <si>
    <t>lower sales growth, less financing needed</t>
  </si>
  <si>
    <t>40 points total for Q2</t>
  </si>
  <si>
    <t>100 points total for Wk 2 assignment</t>
  </si>
  <si>
    <t>FREE-CASH-FLOW VALUATION OF EQUITY</t>
  </si>
  <si>
    <t>Income tax rate</t>
  </si>
  <si>
    <t>Net working capital from balance sheet forecast</t>
    <phoneticPr fontId="0" type="noConversion"/>
  </si>
  <si>
    <t>Capital expenditures</t>
  </si>
  <si>
    <t>Long-term growth rate</t>
  </si>
  <si>
    <t>Wt-Avg. C of C (K-wacc)</t>
  </si>
  <si>
    <t>Market Value of Debt</t>
  </si>
  <si>
    <t>Number of Shares</t>
  </si>
  <si>
    <t>Redundant Assets</t>
    <phoneticPr fontId="0" type="noConversion"/>
  </si>
  <si>
    <t>EBIT after tax (EBIAT)</t>
  </si>
  <si>
    <t>+ Depreciation</t>
  </si>
  <si>
    <t>=Cash Flow from Operations (CFFO)</t>
  </si>
  <si>
    <t>+/- Change in Net Working Capital</t>
  </si>
  <si>
    <t>+/- Capital Expenditures</t>
  </si>
  <si>
    <t>=Free Cash Flow (FCF)</t>
  </si>
  <si>
    <t>+Terminal Value (TV)</t>
  </si>
  <si>
    <t>=Sum of FCF + TV</t>
  </si>
  <si>
    <t xml:space="preserve">  Present Value</t>
  </si>
  <si>
    <t>- Market Value of Debt</t>
  </si>
  <si>
    <t>= Valuation of Equity</t>
  </si>
  <si>
    <t>+Redundant assets</t>
    <phoneticPr fontId="0" type="noConversion"/>
  </si>
  <si>
    <t xml:space="preserve">=Adjusted Value of Equity </t>
    <phoneticPr fontId="0" type="noConversion"/>
  </si>
  <si>
    <t xml:space="preserve">/  Number of Shares </t>
  </si>
  <si>
    <t>Value of Equity per Share</t>
  </si>
  <si>
    <t>MARKET MULTIPLES (COMPARABLES) VALUATION OF EQUITY</t>
  </si>
  <si>
    <t>Average</t>
  </si>
  <si>
    <t>Market Multiples of Peers</t>
  </si>
  <si>
    <t>Peer A</t>
  </si>
  <si>
    <t>Peer B</t>
  </si>
  <si>
    <t>Peer C</t>
  </si>
  <si>
    <t>Peer D</t>
  </si>
  <si>
    <t>Peer E</t>
  </si>
  <si>
    <t>Mkt Mult</t>
  </si>
  <si>
    <t>Price /revenue market multiple of peer company</t>
    <phoneticPr fontId="0" type="noConversion"/>
  </si>
  <si>
    <t>Price/EBITDA market multiple of peer company</t>
  </si>
  <si>
    <t>Price /Earnings market multiple of peer company</t>
  </si>
  <si>
    <t>Mkt Val of Eq/Book Val mkt mult of Equity of peer co</t>
  </si>
  <si>
    <t>adjust function</t>
    <phoneticPr fontId="0" type="noConversion"/>
  </si>
  <si>
    <t>if less than 5</t>
    <phoneticPr fontId="0" type="noConversion"/>
  </si>
  <si>
    <t>Target company data</t>
    <phoneticPr fontId="0" type="noConversion"/>
  </si>
  <si>
    <t>peers</t>
    <phoneticPr fontId="0" type="noConversion"/>
  </si>
  <si>
    <t>Target company revenue</t>
    <phoneticPr fontId="0" type="noConversion"/>
  </si>
  <si>
    <t>Therefore, the banker may be uneasy about Cartwright's growth rate of sales..</t>
  </si>
  <si>
    <t>Lower it to 5% annually, EFR becomes:</t>
  </si>
  <si>
    <t>Instead of the FCF Valuation and the Market Multiples Valuation, is it valid to use a simple capitalization formula,</t>
  </si>
  <si>
    <t>Target company EBITDA</t>
    <phoneticPr fontId="0" type="noConversion"/>
  </si>
  <si>
    <t>Target company earnings (net income)</t>
    <phoneticPr fontId="0" type="noConversion"/>
  </si>
  <si>
    <t>Target company book value of equity</t>
    <phoneticPr fontId="0" type="noConversion"/>
  </si>
  <si>
    <t>Target company number of shares</t>
  </si>
  <si>
    <t>from col B</t>
    <phoneticPr fontId="0" type="noConversion"/>
  </si>
  <si>
    <t>from Col G</t>
  </si>
  <si>
    <t xml:space="preserve"> BxC</t>
    <phoneticPr fontId="0" type="noConversion"/>
  </si>
  <si>
    <t>C/B55</t>
    <phoneticPr fontId="0" type="noConversion"/>
  </si>
  <si>
    <t>Target Co</t>
  </si>
  <si>
    <t>Aggregate</t>
  </si>
  <si>
    <t>Per Share</t>
  </si>
  <si>
    <t>Valuation Calculations</t>
  </si>
  <si>
    <t>Data</t>
  </si>
  <si>
    <t>Valuation</t>
  </si>
  <si>
    <t>Valuation based on avg revenue market multiple</t>
    <phoneticPr fontId="0" type="noConversion"/>
  </si>
  <si>
    <t>Valuation based on avg EBITDA market multiple</t>
    <phoneticPr fontId="0" type="noConversion"/>
  </si>
  <si>
    <t>Valuation based on avg earnings market multiple</t>
    <phoneticPr fontId="0" type="noConversion"/>
  </si>
  <si>
    <t>Valuation based on avg book value market multiple</t>
    <phoneticPr fontId="0" type="noConversion"/>
  </si>
  <si>
    <t xml:space="preserve">   REVENUE MARKET MULTIPLE</t>
  </si>
  <si>
    <t xml:space="preserve">   EBITDA MARKET MULTIPLE</t>
  </si>
  <si>
    <t xml:space="preserve">   EARNINGS MARKET MULTIPLE</t>
  </si>
  <si>
    <t xml:space="preserve">   BOOK VALUE MARKET MULTIPLE</t>
  </si>
  <si>
    <t>CURRENT MARKET PRICE</t>
  </si>
  <si>
    <t>this week values the whole business - all the projects – using similar</t>
  </si>
  <si>
    <t>methodology based on free cash flow.</t>
  </si>
  <si>
    <t>Understand the foibles of equity valuation.</t>
  </si>
  <si>
    <t>Realize that market price is not the same as intrinsic value.</t>
  </si>
  <si>
    <t>or equivalent insight</t>
  </si>
  <si>
    <t/>
  </si>
  <si>
    <t>left side grows more than right side,</t>
  </si>
  <si>
    <t>EFR balances source and use</t>
  </si>
  <si>
    <t>MAKE ENTRIES IN BLUE-COLORED CELLS</t>
  </si>
  <si>
    <t>None mentioned in the case</t>
  </si>
  <si>
    <t>From the forecast</t>
  </si>
  <si>
    <t>From the forecast, 2003 base year is 157</t>
  </si>
  <si>
    <t>Reasonable estimate</t>
  </si>
  <si>
    <t>From cost of capital template</t>
  </si>
  <si>
    <t>From 2003 balance sheet</t>
  </si>
  <si>
    <t>Explain the results of your Market Multiples analysis in the box provided.</t>
  </si>
  <si>
    <t xml:space="preserve">SEE THE FLOW DIAGRAM TAB- YOU ARE NOW WORKING ON THE BLUE-COLORED ANALYSIS </t>
  </si>
  <si>
    <t>Q3 - Answer in the box below:</t>
  </si>
  <si>
    <t>Q 4 - Answer in the box below:</t>
  </si>
  <si>
    <t>Q5 - Answer in the box below:</t>
  </si>
  <si>
    <t>ALREADY ADJUSTED</t>
  </si>
  <si>
    <t>Not relevant- no shares outstanding</t>
  </si>
  <si>
    <t>Use EBIT because EBITDA is not given</t>
  </si>
  <si>
    <t>BY BLANKING</t>
  </si>
  <si>
    <t>EMPTY CELLS</t>
  </si>
  <si>
    <t>CA</t>
  </si>
  <si>
    <t>CL</t>
  </si>
  <si>
    <t>NWC</t>
  </si>
  <si>
    <t>Assume 10,000 - enter as 10 (000 omitted)</t>
  </si>
  <si>
    <t>NWC Calculation using numbers from forecasted balance sheet</t>
  </si>
  <si>
    <t>9 points for knowing that ROIC removes impact of leverage, minus 2 as above.</t>
  </si>
  <si>
    <t>9 points - same as b, minus 2 as above.</t>
  </si>
  <si>
    <t>9 points for knowing that leverage drives ROE, minus 2 for lack of specificity</t>
  </si>
  <si>
    <t>Scoring Rubric</t>
  </si>
  <si>
    <t>beware of generalizations.</t>
  </si>
  <si>
    <t>Overall, different ratios measure different things. Look carefully at numerator and denominator before you interpret the meaning of the metric and</t>
  </si>
  <si>
    <t>If ratios reflect long-run situation, interpretation strengthens. If ratios reflect transitory events, interpretation weakens.</t>
  </si>
  <si>
    <t>If one has higher business risk (higher fixed cost ratio, riskier industry, more volatility in sales year-to-year…comparison weakens.</t>
  </si>
  <si>
    <t xml:space="preserve">because they have the same EBIT and total liabilities plus equity. </t>
  </si>
  <si>
    <t>The benefit of the ROIC measure of return is that the impact of leverage is removed, both are 7.7%</t>
  </si>
  <si>
    <t xml:space="preserve">so Apex with higher earnings after tax has higher ROA. </t>
  </si>
  <si>
    <t>Parsing the numerator and denominator, numerators are the same as in the ROE metric above, denominators are identical,</t>
  </si>
  <si>
    <t>Higher leverage means greater default risk - is it bad? - maybe, maybe not….will be unraveled later in the course…always somewhat subjective.</t>
    <phoneticPr fontId="6" type="noConversion"/>
  </si>
  <si>
    <t>Think of DuPont equation - profitability X efficiency X leverage = ROE …..higher leverage, higher ROE  - direct relationship</t>
  </si>
  <si>
    <t>Higher leverage (debt to equity) means higher ROE. No indication of better or worse is implied. Depends on other info.</t>
  </si>
  <si>
    <t>interest expense, hence lower earnings after tax, but lower equity drives ROE higher than Apex.</t>
  </si>
  <si>
    <t>348 than Apex at 833. The numerator and denominator reveal the essence of financial leverage, Cartwright has higher</t>
  </si>
  <si>
    <t xml:space="preserve">Parsing the numerator and denominator, for Cartwright earnings after tax is 42.2, lower than Apex 64.7, BUT, Cartwright equity is much lower at </t>
  </si>
  <si>
    <t>1a: Why is Cartwright ROE higher than Apex ROE? Is it better? Why? Why not? Write answer in box.</t>
    <phoneticPr fontId="6" type="noConversion"/>
  </si>
  <si>
    <t>Total Liab+Eq</t>
  </si>
  <si>
    <t>EBIT * (1-Tax rate)</t>
  </si>
  <si>
    <t>RETURN ON INVESTED CAPITAL</t>
  </si>
  <si>
    <t>ROIC</t>
  </si>
  <si>
    <t>RETURN ON ASSETS</t>
  </si>
  <si>
    <t>64.7/933</t>
    <phoneticPr fontId="6" type="noConversion"/>
  </si>
  <si>
    <t>ROA</t>
  </si>
  <si>
    <t xml:space="preserve">Equity </t>
  </si>
  <si>
    <t>RETURN ON EQUITY</t>
  </si>
  <si>
    <t>ROE</t>
  </si>
  <si>
    <t>Denominator</t>
  </si>
  <si>
    <t>Numerator</t>
  </si>
  <si>
    <t>Fraction</t>
  </si>
  <si>
    <t>Ratio</t>
  </si>
  <si>
    <t xml:space="preserve"> - Interest expense</t>
  </si>
  <si>
    <t xml:space="preserve">EBIT </t>
  </si>
  <si>
    <t xml:space="preserve">  TOTAL LIAB+EQUITY</t>
  </si>
  <si>
    <t xml:space="preserve">Debt </t>
  </si>
  <si>
    <t>27 points of 100 points for Wk 1 (7% of overall course score)</t>
  </si>
  <si>
    <t>TOTAL</t>
  </si>
  <si>
    <t>Cohen Finance Workbook chapter 6:</t>
    <phoneticPr fontId="9" type="noConversion"/>
  </si>
  <si>
    <t>Interest rate</t>
    <phoneticPr fontId="6" type="noConversion"/>
  </si>
  <si>
    <t>Q2 total 73 points of 100 for Wk 1</t>
  </si>
  <si>
    <t>Total 10 points</t>
  </si>
  <si>
    <t>connect hi growth to hi debt</t>
  </si>
  <si>
    <t>weak balance sheet</t>
  </si>
  <si>
    <t>financing - bottom of IS</t>
  </si>
  <si>
    <t>operations - top of IS</t>
  </si>
  <si>
    <t>Total 9 points</t>
  </si>
  <si>
    <t>2 points @ for specific examples</t>
  </si>
  <si>
    <t>judgmental appraisal</t>
  </si>
  <si>
    <t>otherwise comprehensive</t>
  </si>
  <si>
    <t>no coverage ratio</t>
  </si>
  <si>
    <t>no liquidity ratio</t>
  </si>
  <si>
    <t>minus 2 if trend not discussed</t>
  </si>
  <si>
    <t>9 points</t>
  </si>
  <si>
    <t>Total</t>
  </si>
  <si>
    <t>ROIC removes impact of leverage</t>
  </si>
  <si>
    <t>distinction between IS and BS ratios</t>
  </si>
  <si>
    <t>point</t>
  </si>
  <si>
    <t>TOTAL 9 points</t>
  </si>
  <si>
    <t>3 points for distinguishing the two ratios</t>
  </si>
  <si>
    <t>6 points for citing general increase</t>
  </si>
  <si>
    <t>3 points for citing coverage ratio in addition to debt ratio</t>
  </si>
  <si>
    <t>6 points for citing general decline</t>
  </si>
  <si>
    <t>2 points each for citing specific sources of decline</t>
  </si>
  <si>
    <t>5 points for citing general decline</t>
  </si>
  <si>
    <t>enter the different growth rates in row 4 to see these results for yourself</t>
  </si>
  <si>
    <t>roughly 10% of Fixed Assets, no other way to estimate</t>
  </si>
  <si>
    <t>NWC Calculation using numbers from forecasted balance sheet, Wk2 Q2</t>
  </si>
  <si>
    <t xml:space="preserve">growth rate in industry over long term </t>
  </si>
  <si>
    <t>No implication that one is better or worse than another.</t>
  </si>
  <si>
    <t>Also because of higher leverage. The ROA measure of return penalizes a more-levered company.</t>
  </si>
  <si>
    <t>Debt capacity will be covered in more detail in Wk 6 - see Cohen finance book chapter 7, page 114 if you want an advance look.</t>
  </si>
  <si>
    <t xml:space="preserve">When EBIT is predictably stable and high enough to cover interest expense, default risk may be lower, justifying higher leverage. </t>
  </si>
  <si>
    <t>1c: How do the Cartwright &amp; Apex ROICs compare? What does this suggest about the two companies? Write answer in box.</t>
    <phoneticPr fontId="6" type="noConversion"/>
  </si>
  <si>
    <t>a.</t>
    <phoneticPr fontId="6" type="noConversion"/>
  </si>
  <si>
    <t>b.</t>
    <phoneticPr fontId="6" type="noConversion"/>
  </si>
  <si>
    <t>c.</t>
    <phoneticPr fontId="6" type="noConversion"/>
  </si>
  <si>
    <t xml:space="preserve"> Do not let line length overflow a box. Hit ENTER when the number of characters fills the row.</t>
    <phoneticPr fontId="9" type="noConversion"/>
  </si>
  <si>
    <t>Q2: FINANCIAL STATEMENT ANALYSIS WITH RATIOS</t>
    <phoneticPr fontId="6" type="noConversion"/>
  </si>
  <si>
    <t>Read the Cartwright Lumber Company case study.</t>
    <phoneticPr fontId="9" type="noConversion"/>
  </si>
  <si>
    <t xml:space="preserve">First, read the first and last paragraphs of the case. </t>
    <phoneticPr fontId="9" type="noConversion"/>
  </si>
  <si>
    <t>Discern what the case is about, the issues, and the decision to be made.</t>
    <phoneticPr fontId="9" type="noConversion"/>
  </si>
  <si>
    <t>Do not let line length overflow a box. Hit ENTER when the number of characters fills the row.</t>
    <phoneticPr fontId="9" type="noConversion"/>
  </si>
  <si>
    <t>Q1: ROE, ROA, ROIC are given for Cartwright Lumber and Apex Lumber.</t>
    <phoneticPr fontId="6" type="noConversion"/>
  </si>
  <si>
    <t xml:space="preserve">Read the Cohen Finance Book chapters 1 &amp; 2, concentrating on the how-to's of ratio analysis in chapter 2. </t>
    <phoneticPr fontId="9" type="noConversion"/>
  </si>
  <si>
    <t>If you need it, chapter 1 acts as an accounting refresher.</t>
    <phoneticPr fontId="9" type="noConversion"/>
  </si>
  <si>
    <t>Cartwright Lumber</t>
    <phoneticPr fontId="6" type="noConversion"/>
  </si>
  <si>
    <t>Apex Lumber</t>
    <phoneticPr fontId="6" type="noConversion"/>
  </si>
  <si>
    <t>Income tax rate</t>
    <phoneticPr fontId="6" type="noConversion"/>
  </si>
  <si>
    <t xml:space="preserve"> </t>
    <phoneticPr fontId="6" type="noConversion"/>
  </si>
  <si>
    <t xml:space="preserve"> - Income tax</t>
    <phoneticPr fontId="6" type="noConversion"/>
  </si>
  <si>
    <t xml:space="preserve"> </t>
    <phoneticPr fontId="6" type="noConversion"/>
  </si>
  <si>
    <t>42.2/348</t>
    <phoneticPr fontId="6" type="noConversion"/>
  </si>
  <si>
    <t>64.7/833</t>
    <phoneticPr fontId="6" type="noConversion"/>
  </si>
  <si>
    <t>Pps 99-102 explain how to use FCF Equity Valuation template</t>
    <phoneticPr fontId="9" type="noConversion"/>
  </si>
  <si>
    <t>1d: Using the ratios below, appraise the trend (2001-03) of Cartwright's profitability. Cite specific ratios to justify your analysis.</t>
    <phoneticPr fontId="6" type="noConversion"/>
  </si>
  <si>
    <t>1f: Appraise Cartwright's 'business risk'.</t>
    <phoneticPr fontId="6" type="noConversion"/>
  </si>
  <si>
    <t>1h: Based on Cartwright's 2001-03 performance, make a qualitiative summary judgment about it.</t>
    <phoneticPr fontId="6" type="noConversion"/>
  </si>
  <si>
    <t>CARTWRIGHT LUMBER COMPANY (000 omitted)</t>
    <phoneticPr fontId="6" type="noConversion"/>
  </si>
  <si>
    <t xml:space="preserve"> </t>
    <phoneticPr fontId="6" type="noConversion"/>
  </si>
  <si>
    <t>BALANCE SHEETS</t>
    <phoneticPr fontId="6" type="noConversion"/>
  </si>
  <si>
    <t>EFN end of year</t>
    <phoneticPr fontId="9" type="noConversion"/>
  </si>
  <si>
    <t>The calculations assume an interest rate of 9%, see row 87 cell formulas.</t>
    <phoneticPr fontId="9" type="noConversion"/>
  </si>
  <si>
    <t>FROM P 45 IN COHEN FINANCE WORKBOOK:</t>
    <phoneticPr fontId="9" type="noConversion"/>
  </si>
  <si>
    <t>FOR EACH $1 CHANGE IN REVENUE:</t>
    <phoneticPr fontId="7" type="noConversion"/>
  </si>
  <si>
    <t>CHANGE IN ASSETS (USES OF FUNDS)</t>
    <phoneticPr fontId="7" type="noConversion"/>
  </si>
  <si>
    <t>CHANGE IN LIABILITIES+EQUITY (SOURCES OF FUNDS)</t>
    <phoneticPr fontId="7" type="noConversion"/>
  </si>
  <si>
    <t>Next, peruse the case exhibits and preliminarily digest what they tell you.</t>
    <phoneticPr fontId="9" type="noConversion"/>
  </si>
  <si>
    <t>Read the assignment questions so you know what you have to do for the assignment.</t>
    <phoneticPr fontId="9" type="noConversion"/>
  </si>
  <si>
    <t>Then, read the rest of the case.</t>
    <phoneticPr fontId="9" type="noConversion"/>
  </si>
  <si>
    <t>Cohen Finance Workbook chapter 2 goes with this assignment. Read as necessary.</t>
    <phoneticPr fontId="9" type="noConversion"/>
  </si>
  <si>
    <t>Cartwright's financial statements are below for your convenience.</t>
    <phoneticPr fontId="9" type="noConversion"/>
  </si>
  <si>
    <t>Financial ratios are automatically calculated in the panels below the financial statements.</t>
    <phoneticPr fontId="9" type="noConversion"/>
  </si>
  <si>
    <t>Examine the cell contents to learn how the ratio calculations work in Excel.</t>
    <phoneticPr fontId="9" type="noConversion"/>
  </si>
  <si>
    <t>You are expected to perform calculations, when necessary, in Excel.</t>
    <phoneticPr fontId="9" type="noConversion"/>
  </si>
  <si>
    <t>Wk2 continues with a forecast of Cartwright's financial statements and external financing needs.</t>
    <phoneticPr fontId="9" type="noConversion"/>
  </si>
  <si>
    <t>1a: Using the ratios below, appraise the trend (2001-03) of Cartwright's liquidity. Cite specific ratios to justify your analysis.</t>
    <phoneticPr fontId="6" type="noConversion"/>
  </si>
  <si>
    <t>42.2/933</t>
    <phoneticPr fontId="6" type="noConversion"/>
  </si>
  <si>
    <t>86*.83/933</t>
    <phoneticPr fontId="6" type="noConversion"/>
  </si>
  <si>
    <t>Depends on analysis of business risk (green-coded) and financial risk (red-coded) on IS/BS Model.</t>
    <phoneticPr fontId="6" type="noConversion"/>
  </si>
  <si>
    <t>1b: Why is Cartwright ROA lower than Apex ROA? What does it tell you about the two companies? Write answer in box.</t>
    <phoneticPr fontId="6" type="noConversion"/>
  </si>
  <si>
    <t xml:space="preserve"> </t>
    <phoneticPr fontId="9" type="noConversion"/>
  </si>
  <si>
    <t>cents</t>
    <phoneticPr fontId="7" type="noConversion"/>
  </si>
  <si>
    <t>RECEIVABLES</t>
    <phoneticPr fontId="7" type="noConversion"/>
  </si>
  <si>
    <t>INVENTORY</t>
    <phoneticPr fontId="7" type="noConversion"/>
  </si>
  <si>
    <t>INCR IN RET EARN/SALES</t>
    <phoneticPr fontId="7" type="noConversion"/>
  </si>
  <si>
    <t>FA/SALES</t>
    <phoneticPr fontId="7" type="noConversion"/>
  </si>
  <si>
    <t>TOTAL FORECASTED SOURCES</t>
    <phoneticPr fontId="7" type="noConversion"/>
  </si>
  <si>
    <t xml:space="preserve"> </t>
    <phoneticPr fontId="7" type="noConversion"/>
  </si>
  <si>
    <t>TOTAL FORECASTED  USES</t>
    <phoneticPr fontId="7" type="noConversion"/>
  </si>
  <si>
    <t>ADJUSTED TOTAL FORECASTED SOURCES</t>
    <phoneticPr fontId="7" type="noConversion"/>
  </si>
  <si>
    <t>Scoring Rubric:</t>
    <phoneticPr fontId="9" type="noConversion"/>
  </si>
  <si>
    <t xml:space="preserve">Explain how the p 45 table from the Cohen Finance Workbook, shown above starting on row 47, works and its </t>
    <phoneticPr fontId="9" type="noConversion"/>
  </si>
  <si>
    <t>1b: Using the ratios below, appraise the trend (2001-03) of Cartwright's leverage. Cite specific ratios to justify your analysis.</t>
    <phoneticPr fontId="6" type="noConversion"/>
  </si>
  <si>
    <t>1c: Using the ratios below, appraise the trend (2001-03) of Cartwright's asset use (efficiency). Cite specific ratios to justify your analysis.</t>
    <phoneticPr fontId="6" type="noConversion"/>
  </si>
  <si>
    <t>Reconcile the two scenarios by examining their inputs and outputs, and recommend to Mark how much you think his business is worth.</t>
  </si>
  <si>
    <t xml:space="preserve"> Market Value of Debt</t>
  </si>
  <si>
    <t>Valuation of Equity</t>
  </si>
  <si>
    <t>Redundant assets</t>
  </si>
  <si>
    <t>Adjusted Value of Equity</t>
  </si>
  <si>
    <t xml:space="preserve"> Number of Shares</t>
  </si>
  <si>
    <t>Free Cash Flow (FCF)</t>
  </si>
  <si>
    <t>Terminal Value (TV)</t>
  </si>
  <si>
    <t>Sum of FCF + TV</t>
  </si>
  <si>
    <t>Depreciation</t>
  </si>
  <si>
    <t>Cash Flow from Operations (CFFO)</t>
  </si>
  <si>
    <t>Review calculation of cost of capital (k-wacc).</t>
  </si>
  <si>
    <t>project standing alone - the LATC hospital project. The valuation analysis</t>
  </si>
  <si>
    <t>See Q1 and Q2 Tabs for the questions. Scroll down to see the questions.</t>
  </si>
  <si>
    <t>This small business is valued in its aggregate (all shares) rather than its per share value.</t>
  </si>
  <si>
    <t xml:space="preserve">You ran two scenarios of the forecast, then you ran the FCF VALUATION MODEL for each scenario, A &amp; B above. </t>
  </si>
  <si>
    <t>Include a justification based on your analysis and reconcilation of the two scenarios. HINT: How do Scenario A&amp;B assumptions (inputs) differ?</t>
  </si>
  <si>
    <t>Target company is Cartwright- the one being valued</t>
  </si>
  <si>
    <t>See formulas in cells for source of data</t>
  </si>
  <si>
    <t xml:space="preserve">   FREE CASH FLOW MODEL SCENARIO A</t>
  </si>
  <si>
    <t>from E19</t>
  </si>
  <si>
    <t>from E20</t>
  </si>
  <si>
    <t>from E21</t>
  </si>
  <si>
    <t>from E22</t>
  </si>
  <si>
    <t>from previous tab B32</t>
  </si>
  <si>
    <t>from previous tab B72</t>
  </si>
  <si>
    <t>There is no current market price, this is a small business, its shares are not listed or traded OTC</t>
  </si>
  <si>
    <t>Summary</t>
  </si>
  <si>
    <t>After you finished the FCF Valuation (previous tab), you learned of a business similar to Cartwright Lumber that was sold recently to a new owner.</t>
  </si>
  <si>
    <t>such as the #2  formula on page 97 of the Cohen Finance Workbook?</t>
  </si>
  <si>
    <t>Calculate the value of Cartwright using that formula and discuss the implications.</t>
  </si>
  <si>
    <t>Reconcile the FCF Valuation results with the Market Multiples Valuation results. HINT: Use Summary at row 24.</t>
  </si>
  <si>
    <t>Interpret that analysis, following the steps explained in chapter 6.</t>
  </si>
  <si>
    <t>Cartwright Lumber Company, continued from Assignment 2</t>
  </si>
  <si>
    <t>Appreciate that the capital budgeting analysis you did in Assignment 4 ‘values’ one</t>
  </si>
  <si>
    <t>Solutions for Assignments 1 &amp; 2 are included on separate tabs if you want to review them.</t>
  </si>
  <si>
    <t>Recall what you learned about CAPM in MBAD 6233 Wk3.</t>
  </si>
  <si>
    <t>A1 Q1 SOLUTION</t>
  </si>
  <si>
    <t>A1 Q2 SOLUTION</t>
  </si>
  <si>
    <t>A2 Q1 SOLUTION</t>
  </si>
  <si>
    <t>A2 Q2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</si>
</sst>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%"/>
    <numFmt numFmtId="165" formatCode="0.0"/>
    <numFmt numFmtId="166" formatCode="_(&quot;$&quot;* #,##0_);_(&quot;$&quot;* \(#,##0\);_(&quot;$&quot;* &quot;-&quot;??_);_(@_)"/>
    <numFmt numFmtId="167" formatCode="0.0_);\(0.0\)"/>
    <numFmt numFmtId="168" formatCode="[$€-2]\ #,##0.00_);\([$€-2]\ #,##0.00\)"/>
    <numFmt numFmtId="169" formatCode="[$€-2]\ #,##0.00"/>
    <numFmt numFmtId="170" formatCode="&quot;$&quot;#,##0.00"/>
    <numFmt numFmtId="171" formatCode="0_);\(0\)"/>
    <numFmt numFmtId="172" formatCode="&quot;$&quot;#,##0"/>
  </numFmts>
  <fonts count="70">
    <font>
      <sz val="11"/>
      <color indexed="8"/>
      <name val="Calibri"/>
      <family val="2"/>
    </font>
    <font>
      <b/>
      <sz val="12"/>
      <name val="Arial"/>
    </font>
    <font>
      <sz val="12"/>
      <name val="Arial"/>
    </font>
    <font>
      <b/>
      <sz val="12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8"/>
      <name val="Arial"/>
    </font>
    <font>
      <u/>
      <sz val="8"/>
      <name val="Arial"/>
      <family val="2"/>
    </font>
    <font>
      <b/>
      <u/>
      <sz val="8"/>
      <name val="Arial"/>
      <family val="2"/>
    </font>
    <font>
      <sz val="8"/>
      <color indexed="10"/>
      <name val="Arial"/>
      <family val="2"/>
    </font>
    <font>
      <sz val="8"/>
      <color indexed="22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6"/>
      <name val="Arial"/>
    </font>
    <font>
      <b/>
      <i/>
      <sz val="16"/>
      <name val="Arial"/>
    </font>
    <font>
      <i/>
      <sz val="16"/>
      <name val="Arial"/>
    </font>
    <font>
      <sz val="16"/>
      <color indexed="8"/>
      <name val="Arial"/>
    </font>
    <font>
      <b/>
      <i/>
      <sz val="16"/>
      <color indexed="8"/>
      <name val="Arial"/>
    </font>
    <font>
      <b/>
      <sz val="12"/>
      <color indexed="8"/>
      <name val="Arial"/>
    </font>
    <font>
      <sz val="10"/>
      <color indexed="8"/>
      <name val="Arial"/>
    </font>
    <font>
      <u/>
      <sz val="10"/>
      <color indexed="8"/>
      <name val="Arial"/>
      <family val="2"/>
    </font>
    <font>
      <sz val="10"/>
      <color indexed="48"/>
      <name val="Arial"/>
    </font>
    <font>
      <sz val="10"/>
      <color indexed="10"/>
      <name val="Arial"/>
    </font>
    <font>
      <b/>
      <sz val="8"/>
      <color indexed="81"/>
      <name val="Tahoma"/>
    </font>
    <font>
      <sz val="8"/>
      <color indexed="81"/>
      <name val="Tahoma"/>
    </font>
    <font>
      <sz val="12"/>
      <name val="Arial"/>
    </font>
    <font>
      <u/>
      <sz val="12"/>
      <name val="Arial"/>
      <family val="2"/>
    </font>
    <font>
      <b/>
      <sz val="14"/>
      <name val="Arial"/>
      <family val="2"/>
    </font>
    <font>
      <b/>
      <sz val="18"/>
      <name val="Arial"/>
    </font>
    <font>
      <sz val="11"/>
      <color indexed="8"/>
      <name val="Arial"/>
    </font>
    <font>
      <b/>
      <sz val="11"/>
      <color indexed="8"/>
      <name val="Arial"/>
    </font>
    <font>
      <u/>
      <sz val="11"/>
      <color indexed="8"/>
      <name val="Arial"/>
    </font>
    <font>
      <sz val="11"/>
      <name val="Arial"/>
    </font>
    <font>
      <b/>
      <u/>
      <sz val="11"/>
      <color indexed="8"/>
      <name val="Arial"/>
    </font>
    <font>
      <b/>
      <u/>
      <sz val="12"/>
      <name val="Arial"/>
    </font>
    <font>
      <b/>
      <sz val="12"/>
      <color indexed="12"/>
      <name val="Arial"/>
    </font>
    <font>
      <b/>
      <u/>
      <sz val="12"/>
      <color indexed="12"/>
      <name val="Arial"/>
    </font>
    <font>
      <b/>
      <u/>
      <sz val="12"/>
      <color indexed="8"/>
      <name val="Arial"/>
      <family val="2"/>
    </font>
    <font>
      <sz val="12"/>
      <color indexed="12"/>
      <name val="Arial"/>
      <family val="2"/>
    </font>
    <font>
      <sz val="12"/>
      <color indexed="8"/>
      <name val="Arial"/>
    </font>
    <font>
      <u/>
      <sz val="10"/>
      <name val="Arial"/>
      <family val="2"/>
    </font>
    <font>
      <sz val="12"/>
      <color indexed="48"/>
      <name val="Arial"/>
      <family val="2"/>
    </font>
    <font>
      <b/>
      <u/>
      <sz val="11"/>
      <name val="Arial"/>
    </font>
    <font>
      <b/>
      <sz val="11"/>
      <name val="Arial"/>
    </font>
    <font>
      <b/>
      <sz val="10"/>
      <color indexed="53"/>
      <name val="Arial"/>
      <family val="2"/>
    </font>
    <font>
      <b/>
      <sz val="10"/>
      <color indexed="48"/>
      <name val="Arial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</font>
    <font>
      <b/>
      <sz val="11"/>
      <color indexed="10"/>
      <name val="Calibri"/>
      <family val="2"/>
    </font>
    <font>
      <b/>
      <sz val="12"/>
      <color indexed="62"/>
      <name val="Arial"/>
    </font>
    <font>
      <sz val="10"/>
      <color indexed="10"/>
      <name val="Arial"/>
    </font>
    <font>
      <sz val="12"/>
      <color indexed="10"/>
      <name val="Arial"/>
    </font>
    <font>
      <sz val="11"/>
      <color indexed="10"/>
      <name val="Arial"/>
    </font>
    <font>
      <sz val="16"/>
      <color indexed="48"/>
      <name val="Arial"/>
    </font>
    <font>
      <b/>
      <u/>
      <sz val="14"/>
      <name val="Arial"/>
      <family val="2"/>
    </font>
    <font>
      <b/>
      <i/>
      <u/>
      <sz val="11"/>
      <color indexed="8"/>
      <name val="Arial"/>
    </font>
    <font>
      <sz val="12"/>
      <color rgb="FFFF0000"/>
      <name val="Arial"/>
    </font>
    <font>
      <sz val="11"/>
      <color rgb="FFFF0000"/>
      <name val="Arial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2"/>
      <color rgb="FF222222"/>
      <name val="UICTFontTextStyleBody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gray0625"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lightGrid">
        <bgColor indexed="10"/>
      </patternFill>
    </fill>
    <fill>
      <patternFill patternType="lightGrid">
        <bgColor indexed="22"/>
      </patternFill>
    </fill>
    <fill>
      <patternFill patternType="lightGrid">
        <bgColor indexed="11"/>
      </patternFill>
    </fill>
    <fill>
      <patternFill patternType="lightGrid">
        <bgColor indexed="44"/>
      </patternFill>
    </fill>
    <fill>
      <patternFill patternType="solid">
        <fgColor indexed="47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</borders>
  <cellStyleXfs count="20">
    <xf numFmtId="0" fontId="0" fillId="0" borderId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6" fillId="0" borderId="0"/>
    <xf numFmtId="0" fontId="33" fillId="0" borderId="0"/>
    <xf numFmtId="0" fontId="27" fillId="0" borderId="0"/>
    <xf numFmtId="0" fontId="33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</cellStyleXfs>
  <cellXfs count="601">
    <xf numFmtId="0" fontId="0" fillId="0" borderId="0" xfId="0"/>
    <xf numFmtId="0" fontId="7" fillId="0" borderId="0" xfId="0" applyFont="1"/>
    <xf numFmtId="0" fontId="8" fillId="0" borderId="0" xfId="0" applyFont="1"/>
    <xf numFmtId="0" fontId="6" fillId="0" borderId="0" xfId="4"/>
    <xf numFmtId="0" fontId="6" fillId="2" borderId="0" xfId="4" applyFill="1" applyBorder="1"/>
    <xf numFmtId="0" fontId="9" fillId="2" borderId="0" xfId="4" applyFont="1" applyFill="1" applyBorder="1"/>
    <xf numFmtId="0" fontId="9" fillId="2" borderId="0" xfId="4" applyFont="1" applyFill="1"/>
    <xf numFmtId="0" fontId="9" fillId="12" borderId="11" xfId="4" applyFont="1" applyFill="1" applyBorder="1"/>
    <xf numFmtId="0" fontId="9" fillId="12" borderId="9" xfId="4" applyFont="1" applyFill="1" applyBorder="1"/>
    <xf numFmtId="0" fontId="9" fillId="12" borderId="6" xfId="4" applyFont="1" applyFill="1" applyBorder="1"/>
    <xf numFmtId="0" fontId="9" fillId="12" borderId="8" xfId="4" applyFont="1" applyFill="1" applyBorder="1"/>
    <xf numFmtId="0" fontId="9" fillId="8" borderId="14" xfId="4" applyFont="1" applyFill="1" applyBorder="1"/>
    <xf numFmtId="0" fontId="9" fillId="8" borderId="13" xfId="4" applyFont="1" applyFill="1" applyBorder="1"/>
    <xf numFmtId="0" fontId="9" fillId="8" borderId="0" xfId="4" applyFont="1" applyFill="1"/>
    <xf numFmtId="0" fontId="6" fillId="2" borderId="0" xfId="4" applyFill="1"/>
    <xf numFmtId="0" fontId="9" fillId="8" borderId="3" xfId="4" applyFont="1" applyFill="1" applyBorder="1"/>
    <xf numFmtId="0" fontId="9" fillId="8" borderId="2" xfId="4" applyFont="1" applyFill="1" applyBorder="1"/>
    <xf numFmtId="0" fontId="9" fillId="11" borderId="11" xfId="4" applyFont="1" applyFill="1" applyBorder="1"/>
    <xf numFmtId="0" fontId="9" fillId="11" borderId="9" xfId="4" applyFont="1" applyFill="1" applyBorder="1"/>
    <xf numFmtId="0" fontId="9" fillId="11" borderId="6" xfId="4" applyFont="1" applyFill="1" applyBorder="1"/>
    <xf numFmtId="0" fontId="9" fillId="11" borderId="8" xfId="4" applyFont="1" applyFill="1" applyBorder="1"/>
    <xf numFmtId="0" fontId="9" fillId="6" borderId="3" xfId="4" applyFont="1" applyFill="1" applyBorder="1"/>
    <xf numFmtId="0" fontId="9" fillId="6" borderId="2" xfId="4" applyFont="1" applyFill="1" applyBorder="1"/>
    <xf numFmtId="0" fontId="9" fillId="6" borderId="0" xfId="4" applyFont="1" applyFill="1"/>
    <xf numFmtId="0" fontId="9" fillId="7" borderId="22" xfId="4" applyFont="1" applyFill="1" applyBorder="1"/>
    <xf numFmtId="0" fontId="9" fillId="7" borderId="21" xfId="4" applyFont="1" applyFill="1" applyBorder="1"/>
    <xf numFmtId="0" fontId="9" fillId="7" borderId="20" xfId="4" applyFont="1" applyFill="1" applyBorder="1"/>
    <xf numFmtId="0" fontId="9" fillId="7" borderId="0" xfId="4" applyFont="1" applyFill="1" applyBorder="1"/>
    <xf numFmtId="0" fontId="9" fillId="7" borderId="19" xfId="4" applyFont="1" applyFill="1" applyBorder="1"/>
    <xf numFmtId="0" fontId="9" fillId="7" borderId="18" xfId="4" applyFont="1" applyFill="1" applyBorder="1"/>
    <xf numFmtId="0" fontId="10" fillId="7" borderId="17" xfId="4" applyFont="1" applyFill="1" applyBorder="1" applyAlignment="1">
      <alignment horizontal="center"/>
    </xf>
    <xf numFmtId="0" fontId="10" fillId="7" borderId="16" xfId="4" applyFont="1" applyFill="1" applyBorder="1" applyAlignment="1">
      <alignment horizontal="center"/>
    </xf>
    <xf numFmtId="0" fontId="10" fillId="7" borderId="15" xfId="4" applyFont="1" applyFill="1" applyBorder="1" applyAlignment="1">
      <alignment horizontal="center"/>
    </xf>
    <xf numFmtId="0" fontId="9" fillId="10" borderId="10" xfId="4" applyFont="1" applyFill="1" applyBorder="1"/>
    <xf numFmtId="0" fontId="9" fillId="0" borderId="0" xfId="4" applyFont="1"/>
    <xf numFmtId="0" fontId="9" fillId="10" borderId="4" xfId="4" applyFont="1" applyFill="1" applyBorder="1"/>
    <xf numFmtId="0" fontId="9" fillId="7" borderId="11" xfId="4" applyFont="1" applyFill="1" applyBorder="1"/>
    <xf numFmtId="0" fontId="9" fillId="7" borderId="9" xfId="4" applyFont="1" applyFill="1" applyBorder="1"/>
    <xf numFmtId="0" fontId="11" fillId="2" borderId="0" xfId="4" applyFont="1" applyFill="1" applyBorder="1"/>
    <xf numFmtId="0" fontId="9" fillId="7" borderId="6" xfId="4" applyFont="1" applyFill="1" applyBorder="1"/>
    <xf numFmtId="0" fontId="9" fillId="7" borderId="8" xfId="4" applyFont="1" applyFill="1" applyBorder="1"/>
    <xf numFmtId="0" fontId="9" fillId="7" borderId="12" xfId="4" applyFont="1" applyFill="1" applyBorder="1"/>
    <xf numFmtId="0" fontId="9" fillId="7" borderId="3" xfId="4" applyFont="1" applyFill="1" applyBorder="1"/>
    <xf numFmtId="0" fontId="9" fillId="7" borderId="2" xfId="4" applyFont="1" applyFill="1" applyBorder="1"/>
    <xf numFmtId="0" fontId="9" fillId="10" borderId="7" xfId="4" applyFont="1" applyFill="1" applyBorder="1"/>
    <xf numFmtId="0" fontId="9" fillId="8" borderId="12" xfId="4" applyFont="1" applyFill="1" applyBorder="1"/>
    <xf numFmtId="0" fontId="12" fillId="2" borderId="0" xfId="4" applyFont="1" applyFill="1"/>
    <xf numFmtId="0" fontId="9" fillId="3" borderId="3" xfId="4" applyFont="1" applyFill="1" applyBorder="1"/>
    <xf numFmtId="0" fontId="9" fillId="3" borderId="2" xfId="4" applyFont="1" applyFill="1" applyBorder="1"/>
    <xf numFmtId="0" fontId="9" fillId="3" borderId="0" xfId="4" applyFont="1" applyFill="1"/>
    <xf numFmtId="0" fontId="9" fillId="3" borderId="12" xfId="4" applyFont="1" applyFill="1" applyBorder="1"/>
    <xf numFmtId="0" fontId="9" fillId="6" borderId="12" xfId="4" applyFont="1" applyFill="1" applyBorder="1"/>
    <xf numFmtId="0" fontId="9" fillId="9" borderId="11" xfId="4" applyFont="1" applyFill="1" applyBorder="1"/>
    <xf numFmtId="0" fontId="9" fillId="9" borderId="9" xfId="4" applyFont="1" applyFill="1" applyBorder="1"/>
    <xf numFmtId="0" fontId="13" fillId="2" borderId="0" xfId="4" applyFont="1" applyFill="1"/>
    <xf numFmtId="0" fontId="9" fillId="9" borderId="6" xfId="4" applyFont="1" applyFill="1" applyBorder="1"/>
    <xf numFmtId="0" fontId="9" fillId="9" borderId="8" xfId="4" applyFont="1" applyFill="1" applyBorder="1"/>
    <xf numFmtId="0" fontId="9" fillId="7" borderId="14" xfId="4" applyFont="1" applyFill="1" applyBorder="1"/>
    <xf numFmtId="0" fontId="9" fillId="7" borderId="13" xfId="4" applyFont="1" applyFill="1" applyBorder="1"/>
    <xf numFmtId="0" fontId="9" fillId="7" borderId="0" xfId="4" applyFont="1" applyFill="1"/>
    <xf numFmtId="0" fontId="14" fillId="2" borderId="0" xfId="4" applyFont="1" applyFill="1" applyBorder="1"/>
    <xf numFmtId="0" fontId="14" fillId="2" borderId="12" xfId="4" applyFont="1" applyFill="1" applyBorder="1"/>
    <xf numFmtId="0" fontId="6" fillId="0" borderId="0" xfId="0" applyFont="1"/>
    <xf numFmtId="0" fontId="21" fillId="0" borderId="0" xfId="0" quotePrefix="1" applyFont="1"/>
    <xf numFmtId="0" fontId="15" fillId="0" borderId="0" xfId="0" applyFont="1"/>
    <xf numFmtId="0" fontId="21" fillId="0" borderId="0" xfId="0" applyFont="1"/>
    <xf numFmtId="3" fontId="21" fillId="0" borderId="0" xfId="0" quotePrefix="1" applyNumberFormat="1" applyFont="1"/>
    <xf numFmtId="3" fontId="21" fillId="0" borderId="23" xfId="0" quotePrefix="1" applyNumberFormat="1" applyFont="1" applyBorder="1"/>
    <xf numFmtId="0" fontId="21" fillId="0" borderId="23" xfId="0" quotePrefix="1" applyFont="1" applyBorder="1"/>
    <xf numFmtId="3" fontId="21" fillId="0" borderId="0" xfId="0" applyNumberFormat="1" applyFont="1"/>
    <xf numFmtId="0" fontId="15" fillId="0" borderId="23" xfId="0" applyFont="1" applyBorder="1"/>
    <xf numFmtId="3" fontId="21" fillId="0" borderId="23" xfId="0" applyNumberFormat="1" applyFont="1" applyBorder="1"/>
    <xf numFmtId="0" fontId="22" fillId="0" borderId="23" xfId="0" applyFont="1" applyBorder="1" applyAlignment="1">
      <alignment horizontal="center"/>
    </xf>
    <xf numFmtId="0" fontId="22" fillId="0" borderId="23" xfId="0" applyFont="1" applyBorder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Border="1"/>
    <xf numFmtId="0" fontId="15" fillId="0" borderId="0" xfId="0" applyFont="1" applyBorder="1"/>
    <xf numFmtId="0" fontId="25" fillId="0" borderId="23" xfId="0" applyFont="1" applyFill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2" fillId="0" borderId="0" xfId="0" applyFont="1" applyBorder="1"/>
    <xf numFmtId="0" fontId="20" fillId="0" borderId="0" xfId="0" applyFont="1"/>
    <xf numFmtId="0" fontId="16" fillId="0" borderId="0" xfId="0" applyFont="1"/>
    <xf numFmtId="0" fontId="26" fillId="0" borderId="0" xfId="0" applyFont="1"/>
    <xf numFmtId="0" fontId="19" fillId="0" borderId="0" xfId="0" applyFont="1"/>
    <xf numFmtId="0" fontId="19" fillId="0" borderId="28" xfId="0" applyFont="1" applyBorder="1"/>
    <xf numFmtId="0" fontId="27" fillId="0" borderId="0" xfId="0" applyFont="1"/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1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7" fillId="13" borderId="0" xfId="0" applyFont="1" applyFill="1"/>
    <xf numFmtId="0" fontId="0" fillId="13" borderId="0" xfId="0" applyFill="1"/>
    <xf numFmtId="0" fontId="17" fillId="0" borderId="0" xfId="0" applyFont="1"/>
    <xf numFmtId="0" fontId="19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13" borderId="12" xfId="0" applyFont="1" applyFill="1" applyBorder="1" applyAlignment="1">
      <alignment horizontal="center"/>
    </xf>
    <xf numFmtId="0" fontId="19" fillId="13" borderId="12" xfId="0" applyFont="1" applyFill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19" fillId="0" borderId="23" xfId="0" applyFont="1" applyBorder="1" applyAlignment="1">
      <alignment horizontal="center"/>
    </xf>
    <xf numFmtId="0" fontId="17" fillId="0" borderId="23" xfId="0" applyFont="1" applyBorder="1" applyAlignment="1" applyProtection="1">
      <alignment horizontal="center"/>
      <protection locked="0"/>
    </xf>
    <xf numFmtId="0" fontId="20" fillId="0" borderId="23" xfId="0" applyFont="1" applyBorder="1" applyAlignment="1" applyProtection="1">
      <alignment horizontal="center"/>
      <protection locked="0"/>
    </xf>
    <xf numFmtId="0" fontId="19" fillId="13" borderId="12" xfId="0" applyFont="1" applyFill="1" applyBorder="1"/>
    <xf numFmtId="0" fontId="19" fillId="13" borderId="12" xfId="0" applyFont="1" applyFill="1" applyBorder="1" applyProtection="1">
      <protection locked="0"/>
    </xf>
    <xf numFmtId="167" fontId="18" fillId="0" borderId="0" xfId="0" applyNumberFormat="1" applyFont="1" applyProtection="1">
      <protection locked="0"/>
    </xf>
    <xf numFmtId="165" fontId="27" fillId="13" borderId="12" xfId="0" applyNumberFormat="1" applyFont="1" applyFill="1" applyBorder="1" applyProtection="1">
      <protection locked="0"/>
    </xf>
    <xf numFmtId="164" fontId="18" fillId="13" borderId="12" xfId="9" applyNumberFormat="1" applyFont="1" applyFill="1" applyBorder="1" applyProtection="1">
      <protection locked="0"/>
    </xf>
    <xf numFmtId="167" fontId="27" fillId="0" borderId="0" xfId="0" applyNumberFormat="1" applyFont="1"/>
    <xf numFmtId="0" fontId="27" fillId="0" borderId="23" xfId="0" applyFont="1" applyBorder="1"/>
    <xf numFmtId="167" fontId="18" fillId="0" borderId="23" xfId="0" applyNumberFormat="1" applyFont="1" applyBorder="1" applyProtection="1">
      <protection locked="0"/>
    </xf>
    <xf numFmtId="167" fontId="28" fillId="0" borderId="0" xfId="0" applyNumberFormat="1" applyFont="1"/>
    <xf numFmtId="167" fontId="18" fillId="13" borderId="12" xfId="9" applyNumberFormat="1" applyFont="1" applyFill="1" applyBorder="1" applyProtection="1">
      <protection locked="0"/>
    </xf>
    <xf numFmtId="164" fontId="27" fillId="13" borderId="12" xfId="9" applyNumberFormat="1" applyFont="1" applyFill="1" applyBorder="1" applyProtection="1">
      <protection locked="0"/>
    </xf>
    <xf numFmtId="167" fontId="18" fillId="13" borderId="12" xfId="0" applyNumberFormat="1" applyFont="1" applyFill="1" applyBorder="1" applyProtection="1">
      <protection locked="0"/>
    </xf>
    <xf numFmtId="167" fontId="27" fillId="0" borderId="23" xfId="0" applyNumberFormat="1" applyFont="1" applyBorder="1" applyProtection="1">
      <protection locked="0"/>
    </xf>
    <xf numFmtId="167" fontId="27" fillId="0" borderId="23" xfId="0" applyNumberFormat="1" applyFont="1" applyBorder="1"/>
    <xf numFmtId="0" fontId="27" fillId="13" borderId="12" xfId="0" applyFont="1" applyFill="1" applyBorder="1" applyProtection="1">
      <protection locked="0"/>
    </xf>
    <xf numFmtId="167" fontId="27" fillId="0" borderId="0" xfId="0" applyNumberFormat="1" applyFont="1" applyProtection="1">
      <protection locked="0"/>
    </xf>
    <xf numFmtId="165" fontId="18" fillId="13" borderId="12" xfId="0" applyNumberFormat="1" applyFont="1" applyFill="1" applyBorder="1" applyProtection="1">
      <protection locked="0"/>
    </xf>
    <xf numFmtId="165" fontId="18" fillId="13" borderId="12" xfId="9" applyNumberFormat="1" applyFont="1" applyFill="1" applyBorder="1" applyProtection="1">
      <protection locked="0"/>
    </xf>
    <xf numFmtId="165" fontId="27" fillId="0" borderId="0" xfId="0" applyNumberFormat="1" applyFont="1"/>
    <xf numFmtId="165" fontId="27" fillId="13" borderId="12" xfId="0" applyNumberFormat="1" applyFont="1" applyFill="1" applyBorder="1"/>
    <xf numFmtId="7" fontId="18" fillId="0" borderId="0" xfId="1" applyNumberFormat="1" applyFont="1" applyProtection="1">
      <protection locked="0"/>
    </xf>
    <xf numFmtId="168" fontId="18" fillId="0" borderId="0" xfId="1" applyNumberFormat="1" applyFont="1" applyProtection="1">
      <protection locked="0"/>
    </xf>
    <xf numFmtId="168" fontId="27" fillId="13" borderId="12" xfId="1" applyNumberFormat="1" applyFont="1" applyFill="1" applyBorder="1" applyProtection="1">
      <protection locked="0"/>
    </xf>
    <xf numFmtId="169" fontId="27" fillId="0" borderId="0" xfId="0" applyNumberFormat="1" applyFont="1" applyProtection="1">
      <protection locked="0"/>
    </xf>
    <xf numFmtId="7" fontId="27" fillId="0" borderId="0" xfId="1" applyNumberFormat="1" applyFont="1"/>
    <xf numFmtId="168" fontId="27" fillId="0" borderId="0" xfId="1" applyNumberFormat="1" applyFont="1"/>
    <xf numFmtId="168" fontId="27" fillId="13" borderId="12" xfId="1" applyNumberFormat="1" applyFont="1" applyFill="1" applyBorder="1"/>
    <xf numFmtId="44" fontId="27" fillId="13" borderId="12" xfId="1" applyNumberFormat="1" applyFont="1" applyFill="1" applyBorder="1" applyProtection="1">
      <protection locked="0"/>
    </xf>
    <xf numFmtId="169" fontId="27" fillId="0" borderId="0" xfId="1" applyNumberFormat="1" applyFont="1"/>
    <xf numFmtId="169" fontId="27" fillId="0" borderId="0" xfId="1" applyNumberFormat="1" applyFont="1" applyProtection="1">
      <protection locked="0"/>
    </xf>
    <xf numFmtId="4" fontId="27" fillId="0" borderId="0" xfId="1" applyNumberFormat="1" applyFont="1"/>
    <xf numFmtId="4" fontId="27" fillId="13" borderId="12" xfId="1" applyNumberFormat="1" applyFont="1" applyFill="1" applyBorder="1"/>
    <xf numFmtId="4" fontId="27" fillId="13" borderId="12" xfId="1" applyNumberFormat="1" applyFont="1" applyFill="1" applyBorder="1" applyProtection="1">
      <protection locked="0"/>
    </xf>
    <xf numFmtId="4" fontId="18" fillId="0" borderId="0" xfId="0" applyNumberFormat="1" applyFont="1" applyProtection="1">
      <protection locked="0"/>
    </xf>
    <xf numFmtId="4" fontId="27" fillId="13" borderId="12" xfId="0" applyNumberFormat="1" applyFont="1" applyFill="1" applyBorder="1" applyProtection="1">
      <protection locked="0"/>
    </xf>
    <xf numFmtId="4" fontId="18" fillId="13" borderId="12" xfId="0" applyNumberFormat="1" applyFont="1" applyFill="1" applyBorder="1" applyProtection="1">
      <protection locked="0"/>
    </xf>
    <xf numFmtId="4" fontId="27" fillId="0" borderId="0" xfId="0" applyNumberFormat="1" applyFont="1" applyProtection="1">
      <protection locked="0"/>
    </xf>
    <xf numFmtId="0" fontId="27" fillId="13" borderId="12" xfId="0" applyFont="1" applyFill="1" applyBorder="1"/>
    <xf numFmtId="1" fontId="27" fillId="0" borderId="0" xfId="0" applyNumberFormat="1" applyFont="1"/>
    <xf numFmtId="0" fontId="27" fillId="13" borderId="12" xfId="0" applyFont="1" applyFill="1" applyBorder="1" applyAlignment="1">
      <alignment horizontal="center"/>
    </xf>
    <xf numFmtId="1" fontId="27" fillId="0" borderId="0" xfId="0" applyNumberFormat="1" applyFont="1" applyAlignment="1">
      <alignment horizontal="center"/>
    </xf>
    <xf numFmtId="0" fontId="17" fillId="0" borderId="0" xfId="0" applyFont="1" applyAlignment="1">
      <alignment horizontal="right"/>
    </xf>
    <xf numFmtId="0" fontId="17" fillId="13" borderId="12" xfId="0" applyFont="1" applyFill="1" applyBorder="1" applyAlignment="1">
      <alignment horizontal="center"/>
    </xf>
    <xf numFmtId="0" fontId="17" fillId="13" borderId="12" xfId="0" applyFont="1" applyFill="1" applyBorder="1" applyAlignment="1" applyProtection="1">
      <alignment horizontal="center"/>
      <protection locked="0"/>
    </xf>
    <xf numFmtId="167" fontId="27" fillId="0" borderId="0" xfId="0" applyNumberFormat="1" applyFont="1" applyBorder="1" applyProtection="1">
      <protection locked="0"/>
    </xf>
    <xf numFmtId="165" fontId="27" fillId="13" borderId="12" xfId="0" quotePrefix="1" applyNumberFormat="1" applyFont="1" applyFill="1" applyBorder="1" applyProtection="1">
      <protection locked="0"/>
    </xf>
    <xf numFmtId="164" fontId="18" fillId="13" borderId="12" xfId="0" applyNumberFormat="1" applyFont="1" applyFill="1" applyBorder="1" applyProtection="1">
      <protection locked="0"/>
    </xf>
    <xf numFmtId="0" fontId="18" fillId="13" borderId="12" xfId="0" applyFont="1" applyFill="1" applyBorder="1" applyProtection="1">
      <protection locked="0"/>
    </xf>
    <xf numFmtId="167" fontId="0" fillId="0" borderId="0" xfId="0" applyNumberFormat="1"/>
    <xf numFmtId="1" fontId="18" fillId="13" borderId="12" xfId="9" applyNumberFormat="1" applyFont="1" applyFill="1" applyBorder="1" applyProtection="1">
      <protection locked="0"/>
    </xf>
    <xf numFmtId="0" fontId="27" fillId="13" borderId="12" xfId="0" applyFont="1" applyFill="1" applyBorder="1" applyProtection="1"/>
    <xf numFmtId="0" fontId="27" fillId="0" borderId="32" xfId="0" applyFont="1" applyBorder="1"/>
    <xf numFmtId="167" fontId="27" fillId="0" borderId="32" xfId="0" applyNumberFormat="1" applyFont="1" applyBorder="1"/>
    <xf numFmtId="167" fontId="18" fillId="0" borderId="0" xfId="0" applyNumberFormat="1" applyFont="1" applyBorder="1" applyProtection="1">
      <protection locked="0"/>
    </xf>
    <xf numFmtId="0" fontId="29" fillId="0" borderId="0" xfId="0" applyFont="1"/>
    <xf numFmtId="0" fontId="27" fillId="0" borderId="32" xfId="0" applyFont="1" applyFill="1" applyBorder="1"/>
    <xf numFmtId="167" fontId="18" fillId="0" borderId="32" xfId="0" applyNumberFormat="1" applyFont="1" applyBorder="1"/>
    <xf numFmtId="0" fontId="0" fillId="0" borderId="32" xfId="0" applyBorder="1"/>
    <xf numFmtId="167" fontId="0" fillId="0" borderId="32" xfId="0" applyNumberFormat="1" applyBorder="1"/>
    <xf numFmtId="165" fontId="27" fillId="13" borderId="44" xfId="0" applyNumberFormat="1" applyFont="1" applyFill="1" applyBorder="1"/>
    <xf numFmtId="0" fontId="27" fillId="13" borderId="44" xfId="0" applyFont="1" applyFill="1" applyBorder="1" applyProtection="1">
      <protection locked="0"/>
    </xf>
    <xf numFmtId="167" fontId="19" fillId="0" borderId="0" xfId="0" applyNumberFormat="1" applyFont="1"/>
    <xf numFmtId="0" fontId="17" fillId="0" borderId="23" xfId="0" applyFont="1" applyBorder="1" applyAlignment="1">
      <alignment horizontal="center"/>
    </xf>
    <xf numFmtId="0" fontId="30" fillId="0" borderId="0" xfId="0" applyFont="1"/>
    <xf numFmtId="165" fontId="6" fillId="0" borderId="0" xfId="0" applyNumberFormat="1" applyFont="1"/>
    <xf numFmtId="0" fontId="0" fillId="0" borderId="0" xfId="0" applyFont="1"/>
    <xf numFmtId="164" fontId="6" fillId="0" borderId="0" xfId="9" applyNumberFormat="1" applyFont="1"/>
    <xf numFmtId="164" fontId="30" fillId="0" borderId="0" xfId="9" applyNumberFormat="1" applyFont="1"/>
    <xf numFmtId="165" fontId="30" fillId="0" borderId="0" xfId="0" applyNumberFormat="1" applyFont="1"/>
    <xf numFmtId="165" fontId="6" fillId="0" borderId="0" xfId="9" applyNumberFormat="1" applyFont="1"/>
    <xf numFmtId="165" fontId="30" fillId="0" borderId="0" xfId="9" applyNumberFormat="1" applyFont="1"/>
    <xf numFmtId="0" fontId="0" fillId="0" borderId="0" xfId="0" applyAlignment="1">
      <alignment horizontal="right"/>
    </xf>
    <xf numFmtId="164" fontId="0" fillId="0" borderId="0" xfId="9" applyNumberFormat="1" applyFont="1"/>
    <xf numFmtId="0" fontId="16" fillId="0" borderId="0" xfId="4" applyFont="1"/>
    <xf numFmtId="0" fontId="6" fillId="0" borderId="0" xfId="4" applyFont="1"/>
    <xf numFmtId="0" fontId="55" fillId="0" borderId="0" xfId="4" applyFont="1"/>
    <xf numFmtId="0" fontId="30" fillId="0" borderId="0" xfId="4" applyFont="1"/>
    <xf numFmtId="0" fontId="3" fillId="0" borderId="1" xfId="4" applyFont="1" applyBorder="1" applyAlignment="1">
      <alignment horizontal="left"/>
    </xf>
    <xf numFmtId="0" fontId="33" fillId="2" borderId="0" xfId="4" applyFont="1" applyFill="1"/>
    <xf numFmtId="0" fontId="3" fillId="0" borderId="2" xfId="4" applyFont="1" applyBorder="1"/>
    <xf numFmtId="0" fontId="33" fillId="0" borderId="3" xfId="4" applyFont="1" applyBorder="1"/>
    <xf numFmtId="0" fontId="33" fillId="3" borderId="0" xfId="4" applyFont="1" applyFill="1"/>
    <xf numFmtId="0" fontId="3" fillId="4" borderId="4" xfId="4" applyFont="1" applyFill="1" applyBorder="1"/>
    <xf numFmtId="0" fontId="3" fillId="0" borderId="1" xfId="4" applyFont="1" applyBorder="1"/>
    <xf numFmtId="0" fontId="3" fillId="0" borderId="5" xfId="4" applyFont="1" applyBorder="1"/>
    <xf numFmtId="0" fontId="33" fillId="5" borderId="0" xfId="4" applyFont="1" applyFill="1"/>
    <xf numFmtId="0" fontId="33" fillId="6" borderId="4" xfId="4" applyFont="1" applyFill="1" applyBorder="1"/>
    <xf numFmtId="0" fontId="3" fillId="3" borderId="4" xfId="4" applyFont="1" applyFill="1" applyBorder="1"/>
    <xf numFmtId="0" fontId="3" fillId="3" borderId="6" xfId="4" applyFont="1" applyFill="1" applyBorder="1"/>
    <xf numFmtId="0" fontId="33" fillId="2" borderId="4" xfId="4" applyFont="1" applyFill="1" applyBorder="1"/>
    <xf numFmtId="0" fontId="33" fillId="3" borderId="4" xfId="4" applyFont="1" applyFill="1" applyBorder="1"/>
    <xf numFmtId="0" fontId="33" fillId="5" borderId="6" xfId="4" applyFont="1" applyFill="1" applyBorder="1"/>
    <xf numFmtId="0" fontId="33" fillId="6" borderId="0" xfId="4" applyFont="1" applyFill="1"/>
    <xf numFmtId="0" fontId="33" fillId="5" borderId="4" xfId="4" applyFont="1" applyFill="1" applyBorder="1"/>
    <xf numFmtId="0" fontId="33" fillId="3" borderId="6" xfId="4" applyFont="1" applyFill="1" applyBorder="1"/>
    <xf numFmtId="0" fontId="33" fillId="7" borderId="0" xfId="4" applyFont="1" applyFill="1"/>
    <xf numFmtId="0" fontId="3" fillId="2" borderId="4" xfId="4" applyFont="1" applyFill="1" applyBorder="1"/>
    <xf numFmtId="0" fontId="3" fillId="6" borderId="2" xfId="4" applyFont="1" applyFill="1" applyBorder="1"/>
    <xf numFmtId="0" fontId="3" fillId="7" borderId="7" xfId="4" applyFont="1" applyFill="1" applyBorder="1"/>
    <xf numFmtId="0" fontId="33" fillId="7" borderId="4" xfId="4" applyFont="1" applyFill="1" applyBorder="1"/>
    <xf numFmtId="0" fontId="33" fillId="6" borderId="8" xfId="4" applyFont="1" applyFill="1" applyBorder="1"/>
    <xf numFmtId="0" fontId="33" fillId="6" borderId="9" xfId="4" applyFont="1" applyFill="1" applyBorder="1"/>
    <xf numFmtId="0" fontId="33" fillId="2" borderId="8" xfId="4" applyFont="1" applyFill="1" applyBorder="1"/>
    <xf numFmtId="0" fontId="33" fillId="7" borderId="10" xfId="4" applyFont="1" applyFill="1" applyBorder="1"/>
    <xf numFmtId="0" fontId="33" fillId="0" borderId="6" xfId="4" applyFont="1" applyBorder="1"/>
    <xf numFmtId="0" fontId="33" fillId="2" borderId="0" xfId="4" applyFont="1" applyFill="1" applyAlignment="1">
      <alignment horizontal="right"/>
    </xf>
    <xf numFmtId="0" fontId="3" fillId="0" borderId="10" xfId="4" applyFont="1" applyBorder="1"/>
    <xf numFmtId="0" fontId="33" fillId="0" borderId="0" xfId="4" applyFont="1"/>
    <xf numFmtId="0" fontId="33" fillId="8" borderId="0" xfId="4" applyFont="1" applyFill="1" applyAlignment="1">
      <alignment horizontal="left"/>
    </xf>
    <xf numFmtId="0" fontId="34" fillId="8" borderId="0" xfId="4" applyFont="1" applyFill="1" applyAlignment="1">
      <alignment horizontal="center"/>
    </xf>
    <xf numFmtId="0" fontId="3" fillId="0" borderId="9" xfId="4" applyFont="1" applyBorder="1"/>
    <xf numFmtId="0" fontId="3" fillId="0" borderId="11" xfId="4" applyFont="1" applyBorder="1"/>
    <xf numFmtId="0" fontId="33" fillId="8" borderId="0" xfId="4" applyFont="1" applyFill="1" applyAlignment="1">
      <alignment horizontal="center"/>
    </xf>
    <xf numFmtId="0" fontId="0" fillId="0" borderId="17" xfId="0" applyBorder="1"/>
    <xf numFmtId="0" fontId="0" fillId="0" borderId="3" xfId="0" applyBorder="1"/>
    <xf numFmtId="0" fontId="0" fillId="0" borderId="0" xfId="0" applyBorder="1"/>
    <xf numFmtId="0" fontId="0" fillId="0" borderId="6" xfId="0" applyBorder="1"/>
    <xf numFmtId="0" fontId="0" fillId="0" borderId="22" xfId="0" applyBorder="1"/>
    <xf numFmtId="0" fontId="0" fillId="0" borderId="11" xfId="0" applyBorder="1"/>
    <xf numFmtId="0" fontId="37" fillId="0" borderId="0" xfId="0" applyFont="1"/>
    <xf numFmtId="0" fontId="38" fillId="0" borderId="0" xfId="0" applyFont="1"/>
    <xf numFmtId="0" fontId="37" fillId="0" borderId="25" xfId="0" applyFont="1" applyBorder="1"/>
    <xf numFmtId="0" fontId="37" fillId="0" borderId="24" xfId="0" applyFont="1" applyBorder="1"/>
    <xf numFmtId="0" fontId="37" fillId="0" borderId="26" xfId="0" applyFont="1" applyBorder="1"/>
    <xf numFmtId="0" fontId="37" fillId="0" borderId="27" xfId="0" applyFont="1" applyBorder="1"/>
    <xf numFmtId="0" fontId="37" fillId="0" borderId="0" xfId="0" applyFont="1" applyBorder="1"/>
    <xf numFmtId="0" fontId="37" fillId="0" borderId="28" xfId="0" applyFont="1" applyBorder="1"/>
    <xf numFmtId="0" fontId="37" fillId="0" borderId="29" xfId="0" applyFont="1" applyBorder="1"/>
    <xf numFmtId="0" fontId="37" fillId="0" borderId="23" xfId="0" applyFont="1" applyBorder="1"/>
    <xf numFmtId="0" fontId="37" fillId="0" borderId="30" xfId="0" applyFont="1" applyBorder="1"/>
    <xf numFmtId="0" fontId="56" fillId="0" borderId="0" xfId="0" applyFont="1"/>
    <xf numFmtId="0" fontId="39" fillId="0" borderId="0" xfId="0" applyFont="1" applyBorder="1"/>
    <xf numFmtId="0" fontId="39" fillId="0" borderId="28" xfId="0" applyFont="1" applyBorder="1"/>
    <xf numFmtId="3" fontId="37" fillId="0" borderId="0" xfId="0" applyNumberFormat="1" applyFont="1" applyBorder="1"/>
    <xf numFmtId="37" fontId="37" fillId="0" borderId="0" xfId="0" applyNumberFormat="1" applyFont="1" applyBorder="1"/>
    <xf numFmtId="3" fontId="37" fillId="0" borderId="28" xfId="0" applyNumberFormat="1" applyFont="1" applyBorder="1"/>
    <xf numFmtId="37" fontId="37" fillId="0" borderId="28" xfId="0" applyNumberFormat="1" applyFont="1" applyBorder="1"/>
    <xf numFmtId="0" fontId="37" fillId="0" borderId="0" xfId="0" applyFont="1" applyBorder="1" applyAlignment="1">
      <alignment horizontal="right"/>
    </xf>
    <xf numFmtId="1" fontId="37" fillId="0" borderId="0" xfId="0" applyNumberFormat="1" applyFont="1" applyBorder="1"/>
    <xf numFmtId="0" fontId="57" fillId="0" borderId="0" xfId="0" applyFont="1"/>
    <xf numFmtId="1" fontId="37" fillId="0" borderId="23" xfId="0" applyNumberFormat="1" applyFont="1" applyBorder="1"/>
    <xf numFmtId="0" fontId="38" fillId="0" borderId="25" xfId="0" applyFont="1" applyBorder="1"/>
    <xf numFmtId="0" fontId="38" fillId="0" borderId="24" xfId="0" applyFont="1" applyBorder="1"/>
    <xf numFmtId="0" fontId="0" fillId="0" borderId="26" xfId="0" applyBorder="1"/>
    <xf numFmtId="0" fontId="38" fillId="0" borderId="27" xfId="0" applyFont="1" applyBorder="1"/>
    <xf numFmtId="0" fontId="38" fillId="0" borderId="0" xfId="0" applyFont="1" applyBorder="1"/>
    <xf numFmtId="0" fontId="0" fillId="0" borderId="28" xfId="0" applyBorder="1"/>
    <xf numFmtId="0" fontId="38" fillId="0" borderId="29" xfId="0" applyFont="1" applyBorder="1"/>
    <xf numFmtId="0" fontId="38" fillId="0" borderId="23" xfId="0" applyFont="1" applyBorder="1"/>
    <xf numFmtId="0" fontId="0" fillId="0" borderId="30" xfId="0" applyBorder="1"/>
    <xf numFmtId="0" fontId="39" fillId="0" borderId="27" xfId="0" applyFont="1" applyBorder="1"/>
    <xf numFmtId="0" fontId="37" fillId="0" borderId="31" xfId="0" applyFont="1" applyBorder="1"/>
    <xf numFmtId="0" fontId="37" fillId="0" borderId="32" xfId="0" applyFont="1" applyBorder="1"/>
    <xf numFmtId="0" fontId="0" fillId="0" borderId="33" xfId="0" applyBorder="1"/>
    <xf numFmtId="0" fontId="0" fillId="0" borderId="0" xfId="0" quotePrefix="1"/>
    <xf numFmtId="0" fontId="37" fillId="0" borderId="0" xfId="0" quotePrefix="1" applyFont="1"/>
    <xf numFmtId="0" fontId="38" fillId="0" borderId="31" xfId="0" applyFont="1" applyBorder="1"/>
    <xf numFmtId="0" fontId="38" fillId="0" borderId="32" xfId="0" applyFont="1" applyBorder="1"/>
    <xf numFmtId="0" fontId="38" fillId="0" borderId="33" xfId="0" applyFont="1" applyBorder="1"/>
    <xf numFmtId="0" fontId="0" fillId="0" borderId="24" xfId="0" applyFont="1" applyBorder="1"/>
    <xf numFmtId="0" fontId="0" fillId="0" borderId="26" xfId="0" applyFont="1" applyBorder="1"/>
    <xf numFmtId="0" fontId="0" fillId="0" borderId="0" xfId="0" applyFont="1" applyBorder="1"/>
    <xf numFmtId="0" fontId="0" fillId="0" borderId="28" xfId="0" applyFont="1" applyBorder="1"/>
    <xf numFmtId="0" fontId="0" fillId="0" borderId="23" xfId="0" applyBorder="1"/>
    <xf numFmtId="0" fontId="41" fillId="0" borderId="25" xfId="0" applyFont="1" applyBorder="1" applyAlignment="1">
      <alignment horizontal="center"/>
    </xf>
    <xf numFmtId="0" fontId="41" fillId="0" borderId="24" xfId="0" applyFont="1" applyBorder="1" applyAlignment="1">
      <alignment horizontal="center"/>
    </xf>
    <xf numFmtId="0" fontId="41" fillId="0" borderId="27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2" fillId="0" borderId="0" xfId="4" applyFont="1"/>
    <xf numFmtId="0" fontId="3" fillId="0" borderId="0" xfId="4" applyFont="1" applyAlignment="1">
      <alignment horizontal="right"/>
    </xf>
    <xf numFmtId="0" fontId="43" fillId="0" borderId="0" xfId="4" applyFont="1"/>
    <xf numFmtId="0" fontId="3" fillId="0" borderId="0" xfId="4" applyFont="1"/>
    <xf numFmtId="0" fontId="42" fillId="0" borderId="0" xfId="4" applyFont="1" applyAlignment="1">
      <alignment horizontal="right"/>
    </xf>
    <xf numFmtId="0" fontId="44" fillId="0" borderId="0" xfId="4" applyFont="1"/>
    <xf numFmtId="0" fontId="45" fillId="0" borderId="0" xfId="4" applyFont="1"/>
    <xf numFmtId="167" fontId="46" fillId="0" borderId="0" xfId="4" applyNumberFormat="1" applyFont="1"/>
    <xf numFmtId="164" fontId="46" fillId="0" borderId="0" xfId="10" applyNumberFormat="1" applyFont="1"/>
    <xf numFmtId="167" fontId="45" fillId="0" borderId="0" xfId="4" applyNumberFormat="1" applyFont="1"/>
    <xf numFmtId="167" fontId="18" fillId="0" borderId="0" xfId="4" applyNumberFormat="1" applyFont="1"/>
    <xf numFmtId="0" fontId="18" fillId="0" borderId="0" xfId="4" applyFont="1"/>
    <xf numFmtId="0" fontId="46" fillId="0" borderId="0" xfId="4" applyFont="1"/>
    <xf numFmtId="0" fontId="47" fillId="0" borderId="0" xfId="4" applyFont="1"/>
    <xf numFmtId="167" fontId="46" fillId="0" borderId="0" xfId="4" applyNumberFormat="1" applyFont="1" applyBorder="1" applyAlignment="1">
      <alignment horizontal="right"/>
    </xf>
    <xf numFmtId="165" fontId="46" fillId="0" borderId="0" xfId="4" applyNumberFormat="1" applyFont="1"/>
    <xf numFmtId="167" fontId="33" fillId="0" borderId="0" xfId="4" applyNumberFormat="1" applyFont="1"/>
    <xf numFmtId="0" fontId="48" fillId="0" borderId="0" xfId="4" applyFont="1"/>
    <xf numFmtId="0" fontId="33" fillId="0" borderId="23" xfId="4" quotePrefix="1" applyFont="1" applyBorder="1"/>
    <xf numFmtId="167" fontId="33" fillId="0" borderId="23" xfId="4" applyNumberFormat="1" applyFont="1" applyBorder="1"/>
    <xf numFmtId="0" fontId="33" fillId="0" borderId="0" xfId="4" quotePrefix="1" applyFont="1"/>
    <xf numFmtId="0" fontId="33" fillId="0" borderId="24" xfId="4" quotePrefix="1" applyFont="1" applyBorder="1"/>
    <xf numFmtId="0" fontId="33" fillId="0" borderId="24" xfId="4" applyFont="1" applyBorder="1"/>
    <xf numFmtId="167" fontId="33" fillId="0" borderId="24" xfId="4" applyNumberFormat="1" applyFont="1" applyBorder="1"/>
    <xf numFmtId="0" fontId="33" fillId="0" borderId="23" xfId="4" applyFont="1" applyBorder="1"/>
    <xf numFmtId="1" fontId="33" fillId="0" borderId="0" xfId="4" applyNumberFormat="1" applyFont="1"/>
    <xf numFmtId="165" fontId="47" fillId="0" borderId="0" xfId="4" quotePrefix="1" applyNumberFormat="1" applyFont="1"/>
    <xf numFmtId="165" fontId="47" fillId="0" borderId="23" xfId="4" quotePrefix="1" applyNumberFormat="1" applyFont="1" applyBorder="1"/>
    <xf numFmtId="165" fontId="33" fillId="0" borderId="0" xfId="4" quotePrefix="1" applyNumberFormat="1" applyFont="1"/>
    <xf numFmtId="165" fontId="33" fillId="0" borderId="23" xfId="4" applyNumberFormat="1" applyFont="1" applyBorder="1"/>
    <xf numFmtId="44" fontId="3" fillId="0" borderId="0" xfId="2" applyFont="1"/>
    <xf numFmtId="165" fontId="3" fillId="0" borderId="0" xfId="4" applyNumberFormat="1" applyFont="1" applyAlignment="1">
      <alignment horizontal="center"/>
    </xf>
    <xf numFmtId="0" fontId="42" fillId="0" borderId="0" xfId="4" applyFont="1" applyAlignment="1">
      <alignment horizontal="center"/>
    </xf>
    <xf numFmtId="165" fontId="49" fillId="0" borderId="0" xfId="4" applyNumberFormat="1" applyFont="1"/>
    <xf numFmtId="165" fontId="33" fillId="0" borderId="0" xfId="4" applyNumberFormat="1" applyFont="1"/>
    <xf numFmtId="0" fontId="33" fillId="0" borderId="0" xfId="4" applyFont="1" applyFill="1" applyBorder="1"/>
    <xf numFmtId="165" fontId="49" fillId="0" borderId="0" xfId="4" applyNumberFormat="1" applyFont="1" applyBorder="1"/>
    <xf numFmtId="165" fontId="49" fillId="0" borderId="0" xfId="4" applyNumberFormat="1" applyFont="1" applyFill="1" applyBorder="1"/>
    <xf numFmtId="165" fontId="33" fillId="0" borderId="0" xfId="4" applyNumberFormat="1" applyFont="1" applyAlignment="1">
      <alignment horizontal="center"/>
    </xf>
    <xf numFmtId="0" fontId="3" fillId="0" borderId="0" xfId="4" applyFont="1" applyBorder="1" applyAlignment="1">
      <alignment horizontal="center"/>
    </xf>
    <xf numFmtId="0" fontId="42" fillId="0" borderId="0" xfId="4" applyFont="1" applyBorder="1" applyAlignment="1">
      <alignment horizontal="center"/>
    </xf>
    <xf numFmtId="2" fontId="33" fillId="0" borderId="0" xfId="4" applyNumberFormat="1" applyFont="1" applyBorder="1"/>
    <xf numFmtId="0" fontId="50" fillId="0" borderId="0" xfId="4" applyFont="1" applyBorder="1"/>
    <xf numFmtId="0" fontId="40" fillId="0" borderId="0" xfId="4" applyFont="1"/>
    <xf numFmtId="0" fontId="40" fillId="0" borderId="0" xfId="4" applyFont="1" applyFill="1" applyBorder="1"/>
    <xf numFmtId="0" fontId="58" fillId="0" borderId="0" xfId="4" applyFont="1"/>
    <xf numFmtId="0" fontId="59" fillId="0" borderId="0" xfId="4" applyFont="1"/>
    <xf numFmtId="0" fontId="51" fillId="0" borderId="0" xfId="4" applyFont="1" applyFill="1" applyBorder="1"/>
    <xf numFmtId="165" fontId="60" fillId="0" borderId="0" xfId="4" applyNumberFormat="1" applyFont="1"/>
    <xf numFmtId="0" fontId="57" fillId="0" borderId="2" xfId="0" applyFont="1" applyBorder="1"/>
    <xf numFmtId="0" fontId="57" fillId="0" borderId="3" xfId="0" applyFont="1" applyBorder="1"/>
    <xf numFmtId="0" fontId="57" fillId="0" borderId="8" xfId="0" applyFont="1" applyBorder="1"/>
    <xf numFmtId="0" fontId="57" fillId="0" borderId="6" xfId="0" applyFont="1" applyBorder="1"/>
    <xf numFmtId="0" fontId="57" fillId="0" borderId="9" xfId="0" applyFont="1" applyBorder="1"/>
    <xf numFmtId="0" fontId="57" fillId="0" borderId="11" xfId="0" applyFont="1" applyBorder="1"/>
    <xf numFmtId="0" fontId="61" fillId="0" borderId="0" xfId="4" applyFont="1"/>
    <xf numFmtId="170" fontId="3" fillId="0" borderId="0" xfId="4" applyNumberFormat="1" applyFont="1"/>
    <xf numFmtId="170" fontId="3" fillId="0" borderId="0" xfId="2" applyNumberFormat="1" applyFont="1" applyBorder="1"/>
    <xf numFmtId="0" fontId="56" fillId="0" borderId="0" xfId="0" applyFont="1" applyBorder="1"/>
    <xf numFmtId="0" fontId="56" fillId="0" borderId="23" xfId="0" applyFont="1" applyBorder="1"/>
    <xf numFmtId="0" fontId="6" fillId="0" borderId="0" xfId="4"/>
    <xf numFmtId="0" fontId="38" fillId="0" borderId="0" xfId="4" applyFont="1"/>
    <xf numFmtId="0" fontId="27" fillId="0" borderId="0" xfId="4" applyFont="1"/>
    <xf numFmtId="0" fontId="54" fillId="0" borderId="25" xfId="4" applyFont="1" applyBorder="1"/>
    <xf numFmtId="0" fontId="6" fillId="0" borderId="24" xfId="4" applyFont="1" applyBorder="1"/>
    <xf numFmtId="0" fontId="17" fillId="0" borderId="31" xfId="4" applyFont="1" applyBorder="1" applyAlignment="1">
      <alignment horizontal="center"/>
    </xf>
    <xf numFmtId="0" fontId="6" fillId="0" borderId="26" xfId="4" applyBorder="1"/>
    <xf numFmtId="0" fontId="6" fillId="0" borderId="27" xfId="4" applyBorder="1"/>
    <xf numFmtId="164" fontId="53" fillId="0" borderId="27" xfId="10" applyNumberFormat="1" applyFont="1" applyBorder="1" applyAlignment="1">
      <alignment horizontal="right"/>
    </xf>
    <xf numFmtId="164" fontId="29" fillId="0" borderId="0" xfId="10" applyNumberFormat="1" applyFont="1" applyBorder="1" applyAlignment="1">
      <alignment horizontal="right"/>
    </xf>
    <xf numFmtId="0" fontId="6" fillId="0" borderId="28" xfId="4" applyBorder="1"/>
    <xf numFmtId="0" fontId="17" fillId="0" borderId="27" xfId="4" applyFont="1" applyBorder="1" applyAlignment="1">
      <alignment horizontal="center"/>
    </xf>
    <xf numFmtId="0" fontId="6" fillId="0" borderId="0" xfId="4" applyBorder="1" applyAlignment="1">
      <alignment horizontal="center"/>
    </xf>
    <xf numFmtId="0" fontId="18" fillId="0" borderId="27" xfId="4" applyFont="1" applyBorder="1"/>
    <xf numFmtId="0" fontId="6" fillId="0" borderId="0" xfId="4" applyBorder="1"/>
    <xf numFmtId="0" fontId="18" fillId="0" borderId="28" xfId="4" applyFont="1" applyBorder="1"/>
    <xf numFmtId="0" fontId="18" fillId="0" borderId="29" xfId="4" applyFont="1" applyBorder="1"/>
    <xf numFmtId="0" fontId="52" fillId="0" borderId="0" xfId="4" applyFont="1" applyBorder="1"/>
    <xf numFmtId="0" fontId="6" fillId="0" borderId="29" xfId="4" applyBorder="1"/>
    <xf numFmtId="165" fontId="6" fillId="0" borderId="29" xfId="4" applyNumberFormat="1" applyBorder="1"/>
    <xf numFmtId="165" fontId="6" fillId="0" borderId="0" xfId="4" applyNumberFormat="1" applyBorder="1"/>
    <xf numFmtId="165" fontId="6" fillId="0" borderId="27" xfId="4" applyNumberFormat="1" applyBorder="1"/>
    <xf numFmtId="0" fontId="17" fillId="0" borderId="29" xfId="4" applyFont="1" applyBorder="1" applyAlignment="1">
      <alignment horizontal="center"/>
    </xf>
    <xf numFmtId="0" fontId="17" fillId="0" borderId="23" xfId="4" applyFont="1" applyBorder="1" applyAlignment="1">
      <alignment horizontal="center"/>
    </xf>
    <xf numFmtId="0" fontId="17" fillId="0" borderId="30" xfId="4" applyFont="1" applyBorder="1" applyAlignment="1">
      <alignment horizontal="center"/>
    </xf>
    <xf numFmtId="0" fontId="6" fillId="0" borderId="23" xfId="4" applyBorder="1" applyAlignment="1">
      <alignment horizontal="center"/>
    </xf>
    <xf numFmtId="164" fontId="0" fillId="0" borderId="27" xfId="10" applyNumberFormat="1" applyFont="1" applyBorder="1"/>
    <xf numFmtId="164" fontId="0" fillId="0" borderId="0" xfId="10" quotePrefix="1" applyNumberFormat="1" applyFont="1" applyBorder="1"/>
    <xf numFmtId="164" fontId="0" fillId="0" borderId="28" xfId="10" quotePrefix="1" applyNumberFormat="1" applyFont="1" applyBorder="1"/>
    <xf numFmtId="164" fontId="0" fillId="0" borderId="29" xfId="10" applyNumberFormat="1" applyFont="1" applyBorder="1"/>
    <xf numFmtId="164" fontId="0" fillId="0" borderId="23" xfId="10" quotePrefix="1" applyNumberFormat="1" applyFont="1" applyBorder="1"/>
    <xf numFmtId="164" fontId="0" fillId="0" borderId="30" xfId="10" quotePrefix="1" applyNumberFormat="1" applyFont="1" applyBorder="1"/>
    <xf numFmtId="0" fontId="19" fillId="0" borderId="0" xfId="4" quotePrefix="1" applyFont="1"/>
    <xf numFmtId="0" fontId="6" fillId="0" borderId="2" xfId="4" applyBorder="1"/>
    <xf numFmtId="0" fontId="6" fillId="0" borderId="17" xfId="4" applyBorder="1"/>
    <xf numFmtId="0" fontId="6" fillId="0" borderId="3" xfId="4" applyBorder="1"/>
    <xf numFmtId="0" fontId="6" fillId="0" borderId="8" xfId="4" applyBorder="1"/>
    <xf numFmtId="0" fontId="6" fillId="0" borderId="6" xfId="4" applyBorder="1"/>
    <xf numFmtId="0" fontId="6" fillId="0" borderId="9" xfId="4" applyBorder="1"/>
    <xf numFmtId="0" fontId="6" fillId="0" borderId="22" xfId="4" applyBorder="1"/>
    <xf numFmtId="0" fontId="6" fillId="0" borderId="11" xfId="4" applyBorder="1"/>
    <xf numFmtId="0" fontId="52" fillId="0" borderId="8" xfId="4" quotePrefix="1" applyFont="1" applyBorder="1"/>
    <xf numFmtId="0" fontId="27" fillId="0" borderId="8" xfId="4" quotePrefix="1" applyFont="1" applyBorder="1"/>
    <xf numFmtId="0" fontId="17" fillId="0" borderId="25" xfId="4" applyFont="1" applyBorder="1"/>
    <xf numFmtId="0" fontId="17" fillId="0" borderId="24" xfId="4" applyFont="1" applyBorder="1"/>
    <xf numFmtId="0" fontId="17" fillId="0" borderId="26" xfId="4" applyFont="1" applyBorder="1"/>
    <xf numFmtId="0" fontId="17" fillId="0" borderId="27" xfId="4" applyFont="1" applyBorder="1" applyAlignment="1">
      <alignment horizontal="right"/>
    </xf>
    <xf numFmtId="0" fontId="17" fillId="0" borderId="0" xfId="4" applyFont="1" applyBorder="1"/>
    <xf numFmtId="0" fontId="17" fillId="0" borderId="28" xfId="4" applyFont="1" applyBorder="1"/>
    <xf numFmtId="0" fontId="17" fillId="0" borderId="29" xfId="4" applyFont="1" applyBorder="1" applyAlignment="1">
      <alignment horizontal="right"/>
    </xf>
    <xf numFmtId="0" fontId="17" fillId="0" borderId="23" xfId="4" applyFont="1" applyBorder="1"/>
    <xf numFmtId="0" fontId="17" fillId="0" borderId="30" xfId="4" applyFont="1" applyBorder="1"/>
    <xf numFmtId="0" fontId="26" fillId="0" borderId="0" xfId="4" applyFont="1"/>
    <xf numFmtId="0" fontId="19" fillId="0" borderId="0" xfId="4" applyFont="1"/>
    <xf numFmtId="0" fontId="19" fillId="0" borderId="28" xfId="4" applyFont="1" applyBorder="1"/>
    <xf numFmtId="0" fontId="19" fillId="0" borderId="0" xfId="4" applyFont="1" applyProtection="1">
      <protection locked="0"/>
    </xf>
    <xf numFmtId="0" fontId="20" fillId="0" borderId="0" xfId="4" applyFont="1" applyProtection="1">
      <protection locked="0"/>
    </xf>
    <xf numFmtId="0" fontId="2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6" fillId="0" borderId="0" xfId="4" applyFont="1"/>
    <xf numFmtId="0" fontId="30" fillId="0" borderId="0" xfId="0" applyFont="1" applyProtection="1">
      <protection locked="0"/>
    </xf>
    <xf numFmtId="0" fontId="27" fillId="0" borderId="0" xfId="4" applyFont="1" applyProtection="1">
      <protection locked="0"/>
    </xf>
    <xf numFmtId="0" fontId="18" fillId="0" borderId="0" xfId="4" applyFont="1" applyProtection="1">
      <protection locked="0"/>
    </xf>
    <xf numFmtId="0" fontId="19" fillId="0" borderId="0" xfId="4" quotePrefix="1" applyFont="1" applyProtection="1">
      <protection locked="0"/>
    </xf>
    <xf numFmtId="0" fontId="6" fillId="0" borderId="25" xfId="4" applyFont="1" applyBorder="1"/>
    <xf numFmtId="165" fontId="6" fillId="0" borderId="24" xfId="4" applyNumberFormat="1" applyFont="1" applyBorder="1"/>
    <xf numFmtId="164" fontId="6" fillId="0" borderId="24" xfId="10" applyNumberFormat="1" applyFont="1" applyBorder="1"/>
    <xf numFmtId="0" fontId="6" fillId="0" borderId="26" xfId="4" applyFont="1" applyBorder="1"/>
    <xf numFmtId="0" fontId="16" fillId="0" borderId="0" xfId="4" applyFont="1"/>
    <xf numFmtId="0" fontId="6" fillId="0" borderId="27" xfId="4" applyFont="1" applyBorder="1"/>
    <xf numFmtId="165" fontId="6" fillId="0" borderId="0" xfId="4" applyNumberFormat="1" applyFont="1" applyBorder="1"/>
    <xf numFmtId="164" fontId="6" fillId="0" borderId="0" xfId="10" applyNumberFormat="1" applyFont="1" applyBorder="1"/>
    <xf numFmtId="0" fontId="6" fillId="0" borderId="28" xfId="4" applyFont="1" applyBorder="1"/>
    <xf numFmtId="0" fontId="27" fillId="0" borderId="27" xfId="4" quotePrefix="1" applyFont="1" applyBorder="1" applyProtection="1">
      <protection locked="0"/>
    </xf>
    <xf numFmtId="0" fontId="18" fillId="0" borderId="0" xfId="4" applyFont="1" applyBorder="1" applyProtection="1">
      <protection locked="0"/>
    </xf>
    <xf numFmtId="0" fontId="27" fillId="0" borderId="0" xfId="4" applyFont="1" applyBorder="1" applyProtection="1">
      <protection locked="0"/>
    </xf>
    <xf numFmtId="0" fontId="6" fillId="0" borderId="0" xfId="4" applyFont="1" applyBorder="1"/>
    <xf numFmtId="0" fontId="17" fillId="0" borderId="0" xfId="4" applyFont="1"/>
    <xf numFmtId="0" fontId="19" fillId="0" borderId="29" xfId="4" applyFont="1" applyBorder="1" applyProtection="1">
      <protection locked="0"/>
    </xf>
    <xf numFmtId="0" fontId="20" fillId="0" borderId="23" xfId="4" applyFont="1" applyBorder="1" applyProtection="1">
      <protection locked="0"/>
    </xf>
    <xf numFmtId="0" fontId="19" fillId="0" borderId="23" xfId="4" applyFont="1" applyBorder="1" applyProtection="1">
      <protection locked="0"/>
    </xf>
    <xf numFmtId="0" fontId="6" fillId="0" borderId="23" xfId="4" applyBorder="1"/>
    <xf numFmtId="0" fontId="6" fillId="0" borderId="30" xfId="4" applyBorder="1"/>
    <xf numFmtId="0" fontId="27" fillId="0" borderId="25" xfId="4" quotePrefix="1" applyFont="1" applyBorder="1" applyProtection="1">
      <protection locked="0"/>
    </xf>
    <xf numFmtId="0" fontId="18" fillId="0" borderId="24" xfId="4" applyFont="1" applyBorder="1" applyProtection="1">
      <protection locked="0"/>
    </xf>
    <xf numFmtId="0" fontId="27" fillId="0" borderId="24" xfId="4" applyFont="1" applyBorder="1" applyProtection="1">
      <protection locked="0"/>
    </xf>
    <xf numFmtId="164" fontId="27" fillId="0" borderId="24" xfId="10" applyNumberFormat="1" applyFont="1" applyBorder="1" applyProtection="1">
      <protection locked="0"/>
    </xf>
    <xf numFmtId="164" fontId="27" fillId="0" borderId="0" xfId="10" applyNumberFormat="1" applyFont="1" applyBorder="1" applyProtection="1">
      <protection locked="0"/>
    </xf>
    <xf numFmtId="0" fontId="16" fillId="0" borderId="0" xfId="4" quotePrefix="1" applyFont="1"/>
    <xf numFmtId="165" fontId="27" fillId="0" borderId="0" xfId="4" applyNumberFormat="1" applyFont="1" applyBorder="1" applyProtection="1">
      <protection locked="0"/>
    </xf>
    <xf numFmtId="0" fontId="20" fillId="0" borderId="0" xfId="4" applyFont="1" applyBorder="1" applyProtection="1">
      <protection locked="0"/>
    </xf>
    <xf numFmtId="0" fontId="19" fillId="0" borderId="0" xfId="4" applyFont="1" applyBorder="1" applyProtection="1">
      <protection locked="0"/>
    </xf>
    <xf numFmtId="0" fontId="27" fillId="0" borderId="29" xfId="4" quotePrefix="1" applyFont="1" applyBorder="1" applyProtection="1">
      <protection locked="0"/>
    </xf>
    <xf numFmtId="165" fontId="27" fillId="0" borderId="24" xfId="4" applyNumberFormat="1" applyFont="1" applyBorder="1" applyProtection="1">
      <protection locked="0"/>
    </xf>
    <xf numFmtId="164" fontId="0" fillId="0" borderId="24" xfId="10" applyNumberFormat="1" applyFont="1" applyBorder="1"/>
    <xf numFmtId="164" fontId="0" fillId="0" borderId="0" xfId="10" applyNumberFormat="1" applyFont="1" applyBorder="1"/>
    <xf numFmtId="0" fontId="27" fillId="0" borderId="0" xfId="4" quotePrefix="1" applyFont="1" applyBorder="1" applyProtection="1">
      <protection locked="0"/>
    </xf>
    <xf numFmtId="0" fontId="20" fillId="0" borderId="24" xfId="4" applyFont="1" applyBorder="1" applyProtection="1">
      <protection locked="0"/>
    </xf>
    <xf numFmtId="0" fontId="19" fillId="0" borderId="24" xfId="4" applyFont="1" applyBorder="1" applyProtection="1">
      <protection locked="0"/>
    </xf>
    <xf numFmtId="0" fontId="6" fillId="0" borderId="24" xfId="4" applyBorder="1"/>
    <xf numFmtId="165" fontId="19" fillId="0" borderId="0" xfId="10" applyNumberFormat="1" applyFont="1" applyFill="1" applyBorder="1" applyProtection="1">
      <protection locked="0"/>
    </xf>
    <xf numFmtId="1" fontId="17" fillId="0" borderId="0" xfId="4" applyNumberFormat="1" applyFont="1"/>
    <xf numFmtId="165" fontId="17" fillId="0" borderId="0" xfId="4" applyNumberFormat="1" applyFont="1"/>
    <xf numFmtId="0" fontId="27" fillId="0" borderId="29" xfId="4" applyFont="1" applyBorder="1" applyProtection="1">
      <protection locked="0"/>
    </xf>
    <xf numFmtId="0" fontId="27" fillId="0" borderId="27" xfId="4" applyFont="1" applyFill="1" applyBorder="1" applyProtection="1">
      <protection locked="0"/>
    </xf>
    <xf numFmtId="0" fontId="17" fillId="0" borderId="0" xfId="4" quotePrefix="1" applyFont="1"/>
    <xf numFmtId="0" fontId="18" fillId="0" borderId="23" xfId="4" applyFont="1" applyBorder="1" applyProtection="1">
      <protection locked="0"/>
    </xf>
    <xf numFmtId="0" fontId="27" fillId="0" borderId="23" xfId="4" applyFont="1" applyBorder="1" applyProtection="1">
      <protection locked="0"/>
    </xf>
    <xf numFmtId="0" fontId="6" fillId="0" borderId="23" xfId="4" applyFont="1" applyBorder="1"/>
    <xf numFmtId="0" fontId="27" fillId="0" borderId="27" xfId="4" quotePrefix="1" applyFont="1" applyBorder="1" applyAlignment="1" applyProtection="1">
      <alignment horizontal="right"/>
      <protection locked="0"/>
    </xf>
    <xf numFmtId="0" fontId="27" fillId="0" borderId="25" xfId="4" applyFont="1" applyBorder="1" applyProtection="1">
      <protection locked="0"/>
    </xf>
    <xf numFmtId="0" fontId="27" fillId="0" borderId="27" xfId="4" applyFont="1" applyBorder="1" applyProtection="1">
      <protection locked="0"/>
    </xf>
    <xf numFmtId="0" fontId="19" fillId="0" borderId="0" xfId="4" applyFont="1" applyAlignment="1">
      <alignment horizontal="center"/>
    </xf>
    <xf numFmtId="0" fontId="19" fillId="0" borderId="0" xfId="4" applyFont="1" applyAlignment="1">
      <alignment horizontal="right"/>
    </xf>
    <xf numFmtId="0" fontId="17" fillId="0" borderId="0" xfId="4" applyFont="1" applyAlignment="1">
      <alignment horizontal="center"/>
    </xf>
    <xf numFmtId="0" fontId="20" fillId="0" borderId="0" xfId="4" applyFont="1" applyAlignment="1">
      <alignment horizontal="center"/>
    </xf>
    <xf numFmtId="0" fontId="19" fillId="0" borderId="0" xfId="4" applyFont="1" applyAlignment="1" applyProtection="1">
      <alignment horizontal="right"/>
      <protection locked="0"/>
    </xf>
    <xf numFmtId="0" fontId="19" fillId="0" borderId="23" xfId="4" applyFont="1" applyBorder="1" applyAlignment="1">
      <alignment horizontal="center"/>
    </xf>
    <xf numFmtId="0" fontId="17" fillId="0" borderId="23" xfId="4" applyFont="1" applyBorder="1" applyAlignment="1" applyProtection="1">
      <alignment horizontal="center"/>
      <protection locked="0"/>
    </xf>
    <xf numFmtId="0" fontId="20" fillId="0" borderId="23" xfId="4" applyFont="1" applyBorder="1" applyAlignment="1" applyProtection="1">
      <alignment horizontal="center"/>
      <protection locked="0"/>
    </xf>
    <xf numFmtId="167" fontId="18" fillId="0" borderId="0" xfId="4" applyNumberFormat="1" applyFont="1" applyProtection="1">
      <protection locked="0"/>
    </xf>
    <xf numFmtId="0" fontId="27" fillId="0" borderId="23" xfId="4" applyFont="1" applyBorder="1"/>
    <xf numFmtId="167" fontId="18" fillId="0" borderId="23" xfId="4" applyNumberFormat="1" applyFont="1" applyBorder="1" applyProtection="1">
      <protection locked="0"/>
    </xf>
    <xf numFmtId="167" fontId="27" fillId="0" borderId="0" xfId="4" applyNumberFormat="1" applyFont="1"/>
    <xf numFmtId="167" fontId="27" fillId="0" borderId="23" xfId="4" applyNumberFormat="1" applyFont="1" applyBorder="1"/>
    <xf numFmtId="165" fontId="27" fillId="0" borderId="0" xfId="4" applyNumberFormat="1" applyFont="1"/>
    <xf numFmtId="7" fontId="18" fillId="0" borderId="0" xfId="2" applyNumberFormat="1" applyFont="1" applyProtection="1">
      <protection locked="0"/>
    </xf>
    <xf numFmtId="168" fontId="18" fillId="0" borderId="0" xfId="2" applyNumberFormat="1" applyFont="1" applyProtection="1">
      <protection locked="0"/>
    </xf>
    <xf numFmtId="7" fontId="27" fillId="0" borderId="0" xfId="2" applyNumberFormat="1" applyFont="1"/>
    <xf numFmtId="168" fontId="27" fillId="0" borderId="0" xfId="2" applyNumberFormat="1" applyFont="1"/>
    <xf numFmtId="4" fontId="27" fillId="0" borderId="0" xfId="2" applyNumberFormat="1" applyFont="1"/>
    <xf numFmtId="4" fontId="18" fillId="0" borderId="0" xfId="4" applyNumberFormat="1" applyFont="1" applyProtection="1">
      <protection locked="0"/>
    </xf>
    <xf numFmtId="0" fontId="27" fillId="0" borderId="0" xfId="4" applyFont="1" applyAlignment="1">
      <alignment horizontal="center"/>
    </xf>
    <xf numFmtId="0" fontId="17" fillId="0" borderId="0" xfId="4" applyFont="1" applyAlignment="1">
      <alignment horizontal="right"/>
    </xf>
    <xf numFmtId="167" fontId="27" fillId="0" borderId="0" xfId="4" applyNumberFormat="1" applyFont="1" applyBorder="1" applyProtection="1">
      <protection locked="0"/>
    </xf>
    <xf numFmtId="167" fontId="27" fillId="0" borderId="0" xfId="4" applyNumberFormat="1" applyFont="1" applyProtection="1">
      <protection locked="0"/>
    </xf>
    <xf numFmtId="167" fontId="27" fillId="0" borderId="23" xfId="4" applyNumberFormat="1" applyFont="1" applyBorder="1" applyProtection="1">
      <protection locked="0"/>
    </xf>
    <xf numFmtId="0" fontId="27" fillId="0" borderId="32" xfId="4" applyFont="1" applyBorder="1"/>
    <xf numFmtId="167" fontId="27" fillId="0" borderId="32" xfId="4" applyNumberFormat="1" applyFont="1" applyBorder="1"/>
    <xf numFmtId="167" fontId="18" fillId="0" borderId="0" xfId="4" applyNumberFormat="1" applyFont="1" applyBorder="1" applyProtection="1">
      <protection locked="0"/>
    </xf>
    <xf numFmtId="0" fontId="29" fillId="0" borderId="0" xfId="4" applyFont="1"/>
    <xf numFmtId="0" fontId="27" fillId="0" borderId="32" xfId="4" applyFont="1" applyFill="1" applyBorder="1"/>
    <xf numFmtId="167" fontId="18" fillId="0" borderId="32" xfId="4" applyNumberFormat="1" applyFont="1" applyBorder="1"/>
    <xf numFmtId="165" fontId="6" fillId="0" borderId="0" xfId="4" applyNumberFormat="1" applyFont="1"/>
    <xf numFmtId="164" fontId="6" fillId="0" borderId="0" xfId="10" applyNumberFormat="1" applyFont="1"/>
    <xf numFmtId="164" fontId="6" fillId="0" borderId="0" xfId="10" applyNumberFormat="1"/>
    <xf numFmtId="165" fontId="6" fillId="0" borderId="0" xfId="10" applyNumberFormat="1" applyFont="1"/>
    <xf numFmtId="0" fontId="6" fillId="0" borderId="0" xfId="4" applyAlignment="1">
      <alignment horizontal="right"/>
    </xf>
    <xf numFmtId="164" fontId="0" fillId="0" borderId="0" xfId="10" applyNumberFormat="1" applyFont="1"/>
    <xf numFmtId="0" fontId="30" fillId="0" borderId="0" xfId="4" applyFont="1"/>
    <xf numFmtId="5" fontId="24" fillId="0" borderId="0" xfId="1" applyNumberFormat="1" applyFont="1" applyBorder="1" applyAlignment="1">
      <alignment horizontal="right"/>
    </xf>
    <xf numFmtId="164" fontId="62" fillId="0" borderId="0" xfId="9" applyNumberFormat="1" applyFont="1" applyBorder="1" applyAlignment="1">
      <alignment horizontal="right"/>
    </xf>
    <xf numFmtId="9" fontId="62" fillId="0" borderId="0" xfId="9" applyFont="1" applyBorder="1"/>
    <xf numFmtId="9" fontId="62" fillId="0" borderId="0" xfId="9" applyFont="1"/>
    <xf numFmtId="164" fontId="62" fillId="0" borderId="0" xfId="9" applyNumberFormat="1" applyFont="1" applyFill="1" applyBorder="1" applyAlignment="1">
      <alignment horizontal="right"/>
    </xf>
    <xf numFmtId="166" fontId="62" fillId="0" borderId="0" xfId="1" applyNumberFormat="1" applyFont="1" applyFill="1" applyBorder="1"/>
    <xf numFmtId="164" fontId="62" fillId="0" borderId="0" xfId="9" applyNumberFormat="1" applyFont="1" applyFill="1" applyBorder="1"/>
    <xf numFmtId="5" fontId="21" fillId="0" borderId="0" xfId="0" quotePrefix="1" applyNumberFormat="1" applyFont="1" applyAlignment="1">
      <alignment horizontal="right"/>
    </xf>
    <xf numFmtId="5" fontId="15" fillId="0" borderId="0" xfId="9" quotePrefix="1" applyNumberFormat="1" applyFont="1"/>
    <xf numFmtId="5" fontId="37" fillId="0" borderId="0" xfId="0" applyNumberFormat="1" applyFont="1" applyBorder="1"/>
    <xf numFmtId="5" fontId="37" fillId="0" borderId="28" xfId="0" applyNumberFormat="1" applyFont="1" applyBorder="1"/>
    <xf numFmtId="165" fontId="37" fillId="0" borderId="0" xfId="0" applyNumberFormat="1" applyFont="1" applyBorder="1"/>
    <xf numFmtId="165" fontId="37" fillId="0" borderId="28" xfId="0" applyNumberFormat="1" applyFont="1" applyBorder="1"/>
    <xf numFmtId="0" fontId="35" fillId="0" borderId="2" xfId="8" applyFont="1" applyBorder="1"/>
    <xf numFmtId="0" fontId="2" fillId="0" borderId="17" xfId="8" applyFont="1" applyBorder="1"/>
    <xf numFmtId="0" fontId="2" fillId="0" borderId="17" xfId="8" applyFont="1" applyFill="1" applyBorder="1"/>
    <xf numFmtId="0" fontId="2" fillId="0" borderId="8" xfId="8" applyFont="1" applyBorder="1"/>
    <xf numFmtId="0" fontId="2" fillId="0" borderId="0" xfId="8" applyFont="1" applyBorder="1"/>
    <xf numFmtId="0" fontId="2" fillId="0" borderId="0" xfId="8" applyFont="1" applyFill="1" applyBorder="1"/>
    <xf numFmtId="164" fontId="2" fillId="0" borderId="0" xfId="10" applyNumberFormat="1" applyFont="1" applyBorder="1"/>
    <xf numFmtId="0" fontId="1" fillId="0" borderId="34" xfId="8" applyFont="1" applyBorder="1"/>
    <xf numFmtId="0" fontId="1" fillId="0" borderId="35" xfId="8" applyFont="1" applyBorder="1"/>
    <xf numFmtId="0" fontId="1" fillId="0" borderId="36" xfId="8" applyFont="1" applyBorder="1"/>
    <xf numFmtId="0" fontId="36" fillId="2" borderId="37" xfId="8" applyFont="1" applyFill="1" applyBorder="1"/>
    <xf numFmtId="0" fontId="36" fillId="0" borderId="35" xfId="8" applyFont="1" applyBorder="1"/>
    <xf numFmtId="0" fontId="36" fillId="0" borderId="5" xfId="8" applyFont="1" applyBorder="1"/>
    <xf numFmtId="0" fontId="2" fillId="0" borderId="0" xfId="8" applyFont="1" applyBorder="1" applyAlignment="1">
      <alignment horizontal="center"/>
    </xf>
    <xf numFmtId="0" fontId="2" fillId="0" borderId="38" xfId="8" applyFont="1" applyBorder="1" applyAlignment="1">
      <alignment horizontal="center"/>
    </xf>
    <xf numFmtId="0" fontId="2" fillId="2" borderId="19" xfId="8" applyFont="1" applyFill="1" applyBorder="1" applyAlignment="1">
      <alignment horizontal="center"/>
    </xf>
    <xf numFmtId="0" fontId="2" fillId="0" borderId="14" xfId="8" applyFont="1" applyBorder="1" applyAlignment="1">
      <alignment horizontal="center"/>
    </xf>
    <xf numFmtId="0" fontId="2" fillId="0" borderId="28" xfId="8" applyFont="1" applyBorder="1"/>
    <xf numFmtId="0" fontId="2" fillId="2" borderId="19" xfId="8" applyFont="1" applyFill="1" applyBorder="1"/>
    <xf numFmtId="0" fontId="2" fillId="0" borderId="6" xfId="8" applyFont="1" applyBorder="1"/>
    <xf numFmtId="0" fontId="2" fillId="0" borderId="23" xfId="8" applyFont="1" applyBorder="1"/>
    <xf numFmtId="0" fontId="2" fillId="0" borderId="30" xfId="8" applyFont="1" applyBorder="1"/>
    <xf numFmtId="0" fontId="2" fillId="0" borderId="39" xfId="8" applyFont="1" applyBorder="1"/>
    <xf numFmtId="165" fontId="2" fillId="0" borderId="0" xfId="10" applyNumberFormat="1" applyFont="1" applyBorder="1"/>
    <xf numFmtId="165" fontId="2" fillId="0" borderId="6" xfId="10" applyNumberFormat="1" applyFont="1" applyBorder="1"/>
    <xf numFmtId="1" fontId="2" fillId="0" borderId="6" xfId="10" applyNumberFormat="1" applyFont="1" applyBorder="1"/>
    <xf numFmtId="164" fontId="2" fillId="0" borderId="23" xfId="10" applyNumberFormat="1" applyFont="1" applyBorder="1"/>
    <xf numFmtId="165" fontId="2" fillId="0" borderId="39" xfId="8" applyNumberFormat="1" applyFont="1" applyBorder="1"/>
    <xf numFmtId="165" fontId="2" fillId="0" borderId="23" xfId="10" applyNumberFormat="1" applyFont="1" applyBorder="1"/>
    <xf numFmtId="165" fontId="2" fillId="0" borderId="6" xfId="8" applyNumberFormat="1" applyFont="1" applyBorder="1"/>
    <xf numFmtId="0" fontId="1" fillId="0" borderId="0" xfId="8" applyFont="1" applyBorder="1"/>
    <xf numFmtId="165" fontId="1" fillId="0" borderId="1" xfId="8" applyNumberFormat="1" applyFont="1" applyBorder="1"/>
    <xf numFmtId="0" fontId="2" fillId="0" borderId="40" xfId="8" applyFont="1" applyBorder="1"/>
    <xf numFmtId="0" fontId="2" fillId="0" borderId="41" xfId="8" applyFont="1" applyBorder="1"/>
    <xf numFmtId="165" fontId="2" fillId="0" borderId="42" xfId="8" applyNumberFormat="1" applyFont="1" applyBorder="1"/>
    <xf numFmtId="0" fontId="2" fillId="2" borderId="43" xfId="8" applyFont="1" applyFill="1" applyBorder="1"/>
    <xf numFmtId="5" fontId="40" fillId="0" borderId="0" xfId="11" quotePrefix="1" applyNumberFormat="1" applyFont="1"/>
    <xf numFmtId="0" fontId="7" fillId="0" borderId="0" xfId="0" applyFont="1"/>
    <xf numFmtId="0" fontId="1" fillId="0" borderId="0" xfId="0" applyFont="1"/>
    <xf numFmtId="0" fontId="2" fillId="0" borderId="0" xfId="0" applyFont="1"/>
    <xf numFmtId="0" fontId="42" fillId="0" borderId="0" xfId="0" applyFont="1"/>
    <xf numFmtId="0" fontId="1" fillId="0" borderId="0" xfId="0" applyFont="1" applyAlignment="1">
      <alignment horizontal="right"/>
    </xf>
    <xf numFmtId="0" fontId="43" fillId="0" borderId="0" xfId="0" applyFont="1"/>
    <xf numFmtId="0" fontId="42" fillId="0" borderId="0" xfId="0" applyFont="1" applyAlignment="1">
      <alignment horizontal="right"/>
    </xf>
    <xf numFmtId="0" fontId="44" fillId="0" borderId="0" xfId="0" applyFont="1"/>
    <xf numFmtId="0" fontId="45" fillId="0" borderId="0" xfId="0" applyFont="1"/>
    <xf numFmtId="0" fontId="46" fillId="0" borderId="0" xfId="0" applyFont="1"/>
    <xf numFmtId="167" fontId="46" fillId="0" borderId="0" xfId="0" applyNumberFormat="1" applyFont="1"/>
    <xf numFmtId="164" fontId="46" fillId="0" borderId="0" xfId="0" applyNumberFormat="1" applyFont="1"/>
    <xf numFmtId="167" fontId="45" fillId="0" borderId="0" xfId="0" applyNumberFormat="1" applyFont="1"/>
    <xf numFmtId="0" fontId="18" fillId="0" borderId="0" xfId="0" applyFont="1"/>
    <xf numFmtId="167" fontId="18" fillId="0" borderId="0" xfId="0" applyNumberFormat="1" applyFont="1"/>
    <xf numFmtId="0" fontId="47" fillId="0" borderId="0" xfId="0" applyFont="1"/>
    <xf numFmtId="167" fontId="46" fillId="0" borderId="0" xfId="0" applyNumberFormat="1" applyFont="1" applyAlignment="1">
      <alignment horizontal="right"/>
    </xf>
    <xf numFmtId="165" fontId="46" fillId="0" borderId="0" xfId="0" applyNumberFormat="1" applyFont="1"/>
    <xf numFmtId="167" fontId="2" fillId="0" borderId="0" xfId="0" applyNumberFormat="1" applyFont="1"/>
    <xf numFmtId="0" fontId="48" fillId="0" borderId="0" xfId="0" applyFont="1"/>
    <xf numFmtId="0" fontId="2" fillId="0" borderId="23" xfId="0" applyFont="1" applyBorder="1"/>
    <xf numFmtId="167" fontId="2" fillId="0" borderId="23" xfId="0" applyNumberFormat="1" applyFont="1" applyBorder="1"/>
    <xf numFmtId="0" fontId="2" fillId="0" borderId="24" xfId="0" applyFont="1" applyBorder="1"/>
    <xf numFmtId="167" fontId="2" fillId="0" borderId="24" xfId="0" applyNumberFormat="1" applyFont="1" applyBorder="1"/>
    <xf numFmtId="167" fontId="47" fillId="0" borderId="23" xfId="0" applyNumberFormat="1" applyFont="1" applyBorder="1"/>
    <xf numFmtId="1" fontId="2" fillId="0" borderId="0" xfId="0" applyNumberFormat="1" applyFont="1"/>
    <xf numFmtId="165" fontId="47" fillId="0" borderId="0" xfId="0" applyNumberFormat="1" applyFont="1"/>
    <xf numFmtId="165" fontId="47" fillId="0" borderId="23" xfId="0" applyNumberFormat="1" applyFont="1" applyBorder="1"/>
    <xf numFmtId="165" fontId="2" fillId="0" borderId="0" xfId="0" applyNumberFormat="1" applyFont="1"/>
    <xf numFmtId="165" fontId="2" fillId="0" borderId="23" xfId="0" applyNumberFormat="1" applyFont="1" applyBorder="1"/>
    <xf numFmtId="170" fontId="1" fillId="0" borderId="0" xfId="0" applyNumberFormat="1" applyFont="1"/>
    <xf numFmtId="0" fontId="6" fillId="0" borderId="24" xfId="0" applyFont="1" applyBorder="1"/>
    <xf numFmtId="0" fontId="6" fillId="0" borderId="26" xfId="0" applyFont="1" applyBorder="1"/>
    <xf numFmtId="0" fontId="6" fillId="0" borderId="27" xfId="0" applyFont="1" applyBorder="1" applyAlignment="1">
      <alignment horizontal="right"/>
    </xf>
    <xf numFmtId="1" fontId="6" fillId="0" borderId="0" xfId="0" applyNumberFormat="1" applyFont="1"/>
    <xf numFmtId="1" fontId="6" fillId="0" borderId="28" xfId="0" applyNumberFormat="1" applyFont="1" applyBorder="1"/>
    <xf numFmtId="1" fontId="48" fillId="0" borderId="0" xfId="0" applyNumberFormat="1" applyFont="1"/>
    <xf numFmtId="1" fontId="48" fillId="0" borderId="28" xfId="0" applyNumberFormat="1" applyFont="1" applyBorder="1"/>
    <xf numFmtId="0" fontId="6" fillId="0" borderId="29" xfId="0" applyFont="1" applyBorder="1" applyAlignment="1">
      <alignment horizontal="right"/>
    </xf>
    <xf numFmtId="171" fontId="6" fillId="0" borderId="23" xfId="0" applyNumberFormat="1" applyFont="1" applyBorder="1"/>
    <xf numFmtId="1" fontId="6" fillId="0" borderId="23" xfId="0" applyNumberFormat="1" applyFont="1" applyBorder="1"/>
    <xf numFmtId="1" fontId="6" fillId="0" borderId="30" xfId="0" applyNumberFormat="1" applyFont="1" applyBorder="1"/>
    <xf numFmtId="0" fontId="6" fillId="0" borderId="0" xfId="0" applyFont="1" applyBorder="1" applyAlignment="1">
      <alignment horizontal="right"/>
    </xf>
    <xf numFmtId="171" fontId="6" fillId="0" borderId="0" xfId="0" applyNumberFormat="1" applyFont="1" applyBorder="1"/>
    <xf numFmtId="1" fontId="6" fillId="0" borderId="0" xfId="0" applyNumberFormat="1" applyFont="1" applyBorder="1"/>
    <xf numFmtId="0" fontId="63" fillId="0" borderId="0" xfId="0" applyFont="1"/>
    <xf numFmtId="0" fontId="63" fillId="0" borderId="0" xfId="4" applyFont="1"/>
    <xf numFmtId="0" fontId="64" fillId="0" borderId="27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22" xfId="0" applyFont="1" applyBorder="1"/>
    <xf numFmtId="0" fontId="6" fillId="0" borderId="25" xfId="0" applyFont="1" applyBorder="1"/>
    <xf numFmtId="0" fontId="6" fillId="0" borderId="24" xfId="0" applyFont="1" applyBorder="1"/>
    <xf numFmtId="167" fontId="33" fillId="0" borderId="0" xfId="4" applyNumberFormat="1" applyFont="1" applyAlignment="1">
      <alignment horizontal="right"/>
    </xf>
    <xf numFmtId="167" fontId="47" fillId="0" borderId="23" xfId="4" applyNumberFormat="1" applyFont="1" applyBorder="1" applyAlignment="1">
      <alignment horizontal="right"/>
    </xf>
    <xf numFmtId="165" fontId="65" fillId="0" borderId="0" xfId="4" applyNumberFormat="1" applyFont="1"/>
    <xf numFmtId="0" fontId="65" fillId="0" borderId="0" xfId="4" applyFont="1"/>
    <xf numFmtId="172" fontId="40" fillId="0" borderId="0" xfId="4" applyNumberFormat="1" applyFont="1"/>
    <xf numFmtId="0" fontId="66" fillId="0" borderId="0" xfId="4" applyFont="1"/>
    <xf numFmtId="0" fontId="6" fillId="0" borderId="45" xfId="0" applyFont="1" applyBorder="1"/>
    <xf numFmtId="0" fontId="0" fillId="0" borderId="2" xfId="0" applyBorder="1"/>
    <xf numFmtId="0" fontId="0" fillId="0" borderId="8" xfId="0" applyBorder="1"/>
    <xf numFmtId="0" fontId="0" fillId="0" borderId="9" xfId="0" applyBorder="1"/>
    <xf numFmtId="3" fontId="69" fillId="0" borderId="0" xfId="0" applyNumberFormat="1" applyFont="1"/>
    <xf numFmtId="0" fontId="58" fillId="0" borderId="0" xfId="0" applyFont="1"/>
    <xf numFmtId="0" fontId="30" fillId="0" borderId="0" xfId="0" applyFont="1"/>
    <xf numFmtId="0" fontId="38" fillId="0" borderId="0" xfId="0" applyFont="1"/>
    <xf numFmtId="0" fontId="6" fillId="0" borderId="25" xfId="0" applyFont="1" applyBorder="1"/>
    <xf numFmtId="0" fontId="6" fillId="0" borderId="24" xfId="0" applyFont="1" applyBorder="1"/>
  </cellXfs>
  <cellStyles count="20">
    <cellStyle name="Currency" xfId="1" builtinId="4"/>
    <cellStyle name="Currency 2" xfId="2"/>
    <cellStyle name="Currency 3" xfId="3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  <cellStyle name="Normal 2" xfId="4"/>
    <cellStyle name="Normal 2 2" xfId="5"/>
    <cellStyle name="Normal 2_Copy in NWC sheets for Ch 6 (version 1).xls" xfId="6"/>
    <cellStyle name="Normal 3" xfId="7"/>
    <cellStyle name="Normal_diagrams for Cohen Finance Book.xls" xfId="8"/>
    <cellStyle name="Percent" xfId="9" builtinId="5"/>
    <cellStyle name="Percent 2" xfId="10"/>
    <cellStyle name="Percent 3" xfId="1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139700</xdr:rowOff>
    </xdr:from>
    <xdr:to>
      <xdr:col>3</xdr:col>
      <xdr:colOff>12700</xdr:colOff>
      <xdr:row>17</xdr:row>
      <xdr:rowOff>127000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81200" y="2692400"/>
          <a:ext cx="23368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76200</xdr:colOff>
      <xdr:row>7</xdr:row>
      <xdr:rowOff>12700</xdr:rowOff>
    </xdr:from>
    <xdr:to>
      <xdr:col>4</xdr:col>
      <xdr:colOff>292100</xdr:colOff>
      <xdr:row>7</xdr:row>
      <xdr:rowOff>12700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200900" y="1384300"/>
          <a:ext cx="21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279400</xdr:colOff>
      <xdr:row>7</xdr:row>
      <xdr:rowOff>12700</xdr:rowOff>
    </xdr:from>
    <xdr:to>
      <xdr:col>4</xdr:col>
      <xdr:colOff>279400</xdr:colOff>
      <xdr:row>12</xdr:row>
      <xdr:rowOff>12700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404100" y="1384300"/>
          <a:ext cx="0" cy="977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25400</xdr:colOff>
      <xdr:row>19</xdr:row>
      <xdr:rowOff>0</xdr:rowOff>
    </xdr:from>
    <xdr:to>
      <xdr:col>4</xdr:col>
      <xdr:colOff>241300</xdr:colOff>
      <xdr:row>19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150100" y="3683000"/>
          <a:ext cx="21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50800</xdr:colOff>
      <xdr:row>12</xdr:row>
      <xdr:rowOff>0</xdr:rowOff>
    </xdr:from>
    <xdr:to>
      <xdr:col>4</xdr:col>
      <xdr:colOff>228600</xdr:colOff>
      <xdr:row>12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175500" y="2349500"/>
          <a:ext cx="17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63500</xdr:colOff>
      <xdr:row>12</xdr:row>
      <xdr:rowOff>0</xdr:rowOff>
    </xdr:from>
    <xdr:to>
      <xdr:col>4</xdr:col>
      <xdr:colOff>279400</xdr:colOff>
      <xdr:row>12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7188200" y="2349500"/>
          <a:ext cx="21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901700</xdr:colOff>
      <xdr:row>11</xdr:row>
      <xdr:rowOff>101600</xdr:rowOff>
    </xdr:from>
    <xdr:to>
      <xdr:col>5</xdr:col>
      <xdr:colOff>571500</xdr:colOff>
      <xdr:row>18</xdr:row>
      <xdr:rowOff>76200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901700" y="2247900"/>
          <a:ext cx="7239000" cy="130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863600</xdr:colOff>
      <xdr:row>9</xdr:row>
      <xdr:rowOff>114300</xdr:rowOff>
    </xdr:from>
    <xdr:to>
      <xdr:col>5</xdr:col>
      <xdr:colOff>1549400</xdr:colOff>
      <xdr:row>12</xdr:row>
      <xdr:rowOff>12700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8432800" y="1866900"/>
          <a:ext cx="6858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990600</xdr:colOff>
      <xdr:row>12</xdr:row>
      <xdr:rowOff>152400</xdr:rowOff>
    </xdr:from>
    <xdr:to>
      <xdr:col>5</xdr:col>
      <xdr:colOff>1473200</xdr:colOff>
      <xdr:row>15</xdr:row>
      <xdr:rowOff>88900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V="1">
          <a:off x="8559800" y="2501900"/>
          <a:ext cx="48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1473200</xdr:colOff>
      <xdr:row>12</xdr:row>
      <xdr:rowOff>127000</xdr:rowOff>
    </xdr:from>
    <xdr:to>
      <xdr:col>5</xdr:col>
      <xdr:colOff>1993900</xdr:colOff>
      <xdr:row>19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H="1">
          <a:off x="9042400" y="2476500"/>
          <a:ext cx="520700" cy="1206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38100</xdr:colOff>
      <xdr:row>13</xdr:row>
      <xdr:rowOff>12700</xdr:rowOff>
    </xdr:from>
    <xdr:to>
      <xdr:col>4</xdr:col>
      <xdr:colOff>266700</xdr:colOff>
      <xdr:row>13</xdr:row>
      <xdr:rowOff>12700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7162800" y="256540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254000</xdr:colOff>
      <xdr:row>13</xdr:row>
      <xdr:rowOff>12700</xdr:rowOff>
    </xdr:from>
    <xdr:to>
      <xdr:col>4</xdr:col>
      <xdr:colOff>254000</xdr:colOff>
      <xdr:row>19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7378700" y="2565400"/>
          <a:ext cx="0" cy="1117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266700</xdr:colOff>
      <xdr:row>15</xdr:row>
      <xdr:rowOff>88900</xdr:rowOff>
    </xdr:from>
    <xdr:to>
      <xdr:col>4</xdr:col>
      <xdr:colOff>406400</xdr:colOff>
      <xdr:row>15</xdr:row>
      <xdr:rowOff>88900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7391400" y="2997200"/>
          <a:ext cx="139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292100</xdr:colOff>
      <xdr:row>9</xdr:row>
      <xdr:rowOff>101600</xdr:rowOff>
    </xdr:from>
    <xdr:to>
      <xdr:col>5</xdr:col>
      <xdr:colOff>25400</xdr:colOff>
      <xdr:row>9</xdr:row>
      <xdr:rowOff>114300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7416800" y="1854200"/>
          <a:ext cx="177800" cy="12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18</xdr:row>
      <xdr:rowOff>76200</xdr:rowOff>
    </xdr:from>
    <xdr:to>
      <xdr:col>6</xdr:col>
      <xdr:colOff>25400</xdr:colOff>
      <xdr:row>22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5740400" y="2908300"/>
          <a:ext cx="698500" cy="584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0</xdr:colOff>
      <xdr:row>31</xdr:row>
      <xdr:rowOff>12700</xdr:rowOff>
    </xdr:from>
    <xdr:to>
      <xdr:col>8</xdr:col>
      <xdr:colOff>368300</xdr:colOff>
      <xdr:row>31</xdr:row>
      <xdr:rowOff>12700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740400" y="4876800"/>
          <a:ext cx="2387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406400</xdr:colOff>
      <xdr:row>1</xdr:row>
      <xdr:rowOff>38100</xdr:rowOff>
    </xdr:from>
    <xdr:to>
      <xdr:col>5</xdr:col>
      <xdr:colOff>406400</xdr:colOff>
      <xdr:row>4</xdr:row>
      <xdr:rowOff>114300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146800" y="190500"/>
          <a:ext cx="0" cy="558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406400</xdr:colOff>
      <xdr:row>1</xdr:row>
      <xdr:rowOff>50800</xdr:rowOff>
    </xdr:from>
    <xdr:to>
      <xdr:col>6</xdr:col>
      <xdr:colOff>0</xdr:colOff>
      <xdr:row>1</xdr:row>
      <xdr:rowOff>50800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46800" y="2032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381000</xdr:colOff>
      <xdr:row>26</xdr:row>
      <xdr:rowOff>101600</xdr:rowOff>
    </xdr:from>
    <xdr:to>
      <xdr:col>8</xdr:col>
      <xdr:colOff>381000</xdr:colOff>
      <xdr:row>31</xdr:row>
      <xdr:rowOff>12700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8140700" y="4178300"/>
          <a:ext cx="0" cy="698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0</xdr:colOff>
      <xdr:row>26</xdr:row>
      <xdr:rowOff>76200</xdr:rowOff>
    </xdr:from>
    <xdr:to>
      <xdr:col>8</xdr:col>
      <xdr:colOff>355600</xdr:colOff>
      <xdr:row>26</xdr:row>
      <xdr:rowOff>76200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740400" y="4152900"/>
          <a:ext cx="237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0</xdr:colOff>
      <xdr:row>22</xdr:row>
      <xdr:rowOff>63500</xdr:rowOff>
    </xdr:from>
    <xdr:to>
      <xdr:col>6</xdr:col>
      <xdr:colOff>25400</xdr:colOff>
      <xdr:row>25</xdr:row>
      <xdr:rowOff>101600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>
          <a:off x="5740400" y="3517900"/>
          <a:ext cx="698500" cy="508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279400</xdr:colOff>
      <xdr:row>4</xdr:row>
      <xdr:rowOff>152400</xdr:rowOff>
    </xdr:from>
    <xdr:to>
      <xdr:col>8</xdr:col>
      <xdr:colOff>393700</xdr:colOff>
      <xdr:row>28</xdr:row>
      <xdr:rowOff>114300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H="1" flipV="1">
          <a:off x="6692900" y="787400"/>
          <a:ext cx="1460500" cy="372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2044700</xdr:colOff>
      <xdr:row>2</xdr:row>
      <xdr:rowOff>127000</xdr:rowOff>
    </xdr:from>
    <xdr:to>
      <xdr:col>5</xdr:col>
      <xdr:colOff>12700</xdr:colOff>
      <xdr:row>2</xdr:row>
      <xdr:rowOff>127000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5740400" y="431800"/>
          <a:ext cx="12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406400</xdr:colOff>
      <xdr:row>4</xdr:row>
      <xdr:rowOff>114300</xdr:rowOff>
    </xdr:from>
    <xdr:to>
      <xdr:col>5</xdr:col>
      <xdr:colOff>508000</xdr:colOff>
      <xdr:row>4</xdr:row>
      <xdr:rowOff>114300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6146800" y="749300"/>
          <a:ext cx="10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558800</xdr:colOff>
      <xdr:row>2</xdr:row>
      <xdr:rowOff>114300</xdr:rowOff>
    </xdr:from>
    <xdr:to>
      <xdr:col>3</xdr:col>
      <xdr:colOff>558800</xdr:colOff>
      <xdr:row>3</xdr:row>
      <xdr:rowOff>139700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V="1">
          <a:off x="3505200" y="4191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495300</xdr:colOff>
      <xdr:row>3</xdr:row>
      <xdr:rowOff>12700</xdr:rowOff>
    </xdr:from>
    <xdr:to>
      <xdr:col>4</xdr:col>
      <xdr:colOff>495300</xdr:colOff>
      <xdr:row>4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V="1">
          <a:off x="4902200" y="48260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292100</xdr:colOff>
      <xdr:row>2</xdr:row>
      <xdr:rowOff>88900</xdr:rowOff>
    </xdr:from>
    <xdr:to>
      <xdr:col>5</xdr:col>
      <xdr:colOff>393700</xdr:colOff>
      <xdr:row>2</xdr:row>
      <xdr:rowOff>88900</xdr:rowOff>
    </xdr:to>
    <xdr:sp macro="" textlink="">
      <xdr:nvSpPr>
        <xdr:cNvPr id="14" name="Line 14"/>
        <xdr:cNvSpPr>
          <a:spLocks noChangeShapeType="1"/>
        </xdr:cNvSpPr>
      </xdr:nvSpPr>
      <xdr:spPr bwMode="auto">
        <a:xfrm>
          <a:off x="6032500" y="393700"/>
          <a:ext cx="10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88900</xdr:colOff>
      <xdr:row>3</xdr:row>
      <xdr:rowOff>12700</xdr:rowOff>
    </xdr:from>
    <xdr:to>
      <xdr:col>8</xdr:col>
      <xdr:colOff>88900</xdr:colOff>
      <xdr:row>4</xdr:row>
      <xdr:rowOff>101600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7848600" y="482600"/>
          <a:ext cx="0" cy="254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88900</xdr:colOff>
      <xdr:row>7</xdr:row>
      <xdr:rowOff>88900</xdr:rowOff>
    </xdr:from>
    <xdr:to>
      <xdr:col>8</xdr:col>
      <xdr:colOff>88900</xdr:colOff>
      <xdr:row>8</xdr:row>
      <xdr:rowOff>114300</xdr:rowOff>
    </xdr:to>
    <xdr:sp macro="" textlink="">
      <xdr:nvSpPr>
        <xdr:cNvPr id="16" name="Line 16"/>
        <xdr:cNvSpPr>
          <a:spLocks noChangeShapeType="1"/>
        </xdr:cNvSpPr>
      </xdr:nvSpPr>
      <xdr:spPr bwMode="auto">
        <a:xfrm>
          <a:off x="7848600" y="11938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1181100</xdr:colOff>
      <xdr:row>2</xdr:row>
      <xdr:rowOff>76200</xdr:rowOff>
    </xdr:from>
    <xdr:to>
      <xdr:col>3</xdr:col>
      <xdr:colOff>1397000</xdr:colOff>
      <xdr:row>2</xdr:row>
      <xdr:rowOff>76200</xdr:rowOff>
    </xdr:to>
    <xdr:sp macro="" textlink="">
      <xdr:nvSpPr>
        <xdr:cNvPr id="17" name="Line 17"/>
        <xdr:cNvSpPr>
          <a:spLocks noChangeShapeType="1"/>
        </xdr:cNvSpPr>
      </xdr:nvSpPr>
      <xdr:spPr bwMode="auto">
        <a:xfrm>
          <a:off x="4127500" y="381000"/>
          <a:ext cx="21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zoomScale="150" zoomScaleNormal="150" zoomScalePageLayoutView="150" workbookViewId="0"/>
  </sheetViews>
  <sheetFormatPr defaultColWidth="11.42578125" defaultRowHeight="15"/>
  <cols>
    <col min="2" max="2" width="3.140625" customWidth="1"/>
  </cols>
  <sheetData>
    <row r="1" spans="1:7">
      <c r="A1" s="1" t="s">
        <v>164</v>
      </c>
      <c r="B1" s="1" t="s">
        <v>761</v>
      </c>
    </row>
    <row r="2" spans="1:7">
      <c r="B2" t="s">
        <v>163</v>
      </c>
      <c r="F2" s="2" t="s">
        <v>311</v>
      </c>
    </row>
    <row r="3" spans="1:7">
      <c r="A3" s="1" t="s">
        <v>166</v>
      </c>
      <c r="F3" s="2" t="s">
        <v>311</v>
      </c>
    </row>
    <row r="4" spans="1:7">
      <c r="B4">
        <v>1</v>
      </c>
      <c r="C4" t="s">
        <v>739</v>
      </c>
      <c r="G4" s="243" t="s">
        <v>578</v>
      </c>
    </row>
    <row r="5" spans="1:7">
      <c r="B5">
        <v>2</v>
      </c>
      <c r="C5" t="s">
        <v>564</v>
      </c>
    </row>
    <row r="6" spans="1:7">
      <c r="B6">
        <v>3</v>
      </c>
      <c r="C6" t="s">
        <v>762</v>
      </c>
    </row>
    <row r="7" spans="1:7">
      <c r="C7" t="s">
        <v>740</v>
      </c>
    </row>
    <row r="8" spans="1:7">
      <c r="C8" t="s">
        <v>562</v>
      </c>
    </row>
    <row r="9" spans="1:7">
      <c r="C9" t="s">
        <v>563</v>
      </c>
    </row>
    <row r="10" spans="1:7">
      <c r="B10">
        <v>4</v>
      </c>
      <c r="C10" t="s">
        <v>565</v>
      </c>
    </row>
    <row r="12" spans="1:7">
      <c r="A12" s="1" t="s">
        <v>337</v>
      </c>
      <c r="B12" t="s">
        <v>631</v>
      </c>
    </row>
    <row r="13" spans="1:7">
      <c r="B13">
        <v>1</v>
      </c>
      <c r="C13" t="s">
        <v>61</v>
      </c>
    </row>
    <row r="14" spans="1:7">
      <c r="B14">
        <v>2</v>
      </c>
      <c r="C14" t="s">
        <v>62</v>
      </c>
    </row>
    <row r="15" spans="1:7">
      <c r="B15">
        <v>3</v>
      </c>
      <c r="C15" t="s">
        <v>60</v>
      </c>
    </row>
    <row r="16" spans="1:7">
      <c r="B16">
        <v>4</v>
      </c>
      <c r="C16" t="s">
        <v>687</v>
      </c>
    </row>
    <row r="17" spans="1:11">
      <c r="B17">
        <v>5</v>
      </c>
      <c r="C17" t="s">
        <v>26</v>
      </c>
    </row>
    <row r="19" spans="1:11">
      <c r="A19" s="1" t="s">
        <v>165</v>
      </c>
      <c r="C19" t="s">
        <v>741</v>
      </c>
    </row>
    <row r="20" spans="1:11">
      <c r="A20" s="532"/>
    </row>
    <row r="21" spans="1:11">
      <c r="A21" t="s">
        <v>311</v>
      </c>
      <c r="C21" s="2" t="s">
        <v>763</v>
      </c>
    </row>
    <row r="22" spans="1:11">
      <c r="C22" s="2" t="s">
        <v>764</v>
      </c>
    </row>
    <row r="23" spans="1:11" ht="15.75" thickBot="1">
      <c r="E23" t="s">
        <v>9</v>
      </c>
    </row>
    <row r="24" spans="1:11">
      <c r="C24" s="580" t="s">
        <v>0</v>
      </c>
      <c r="D24" s="217"/>
      <c r="E24" s="217"/>
      <c r="F24" s="217"/>
      <c r="G24" s="217"/>
      <c r="H24" s="217"/>
      <c r="I24" s="217"/>
      <c r="J24" s="217"/>
      <c r="K24" s="218"/>
    </row>
    <row r="25" spans="1:11" ht="15.75" thickBot="1">
      <c r="C25" s="581"/>
      <c r="D25" s="582" t="s">
        <v>1</v>
      </c>
      <c r="E25" s="221"/>
      <c r="F25" s="221"/>
      <c r="G25" s="221"/>
      <c r="H25" s="221"/>
      <c r="I25" s="221"/>
      <c r="J25" s="221"/>
      <c r="K25" s="222"/>
    </row>
    <row r="27" spans="1:11">
      <c r="B27" s="2" t="s">
        <v>310</v>
      </c>
    </row>
    <row r="28" spans="1:11">
      <c r="B28" s="2" t="s">
        <v>205</v>
      </c>
    </row>
    <row r="29" spans="1:11">
      <c r="B29" s="2" t="s">
        <v>206</v>
      </c>
      <c r="D29" s="2"/>
      <c r="E29" s="2"/>
      <c r="F29" s="2"/>
    </row>
    <row r="30" spans="1:11">
      <c r="B30" s="2" t="s">
        <v>157</v>
      </c>
      <c r="D30" s="2"/>
      <c r="E30" s="2"/>
      <c r="F30" s="2"/>
    </row>
    <row r="31" spans="1:11">
      <c r="B31" s="2" t="s">
        <v>158</v>
      </c>
      <c r="D31" s="2"/>
      <c r="E31" s="2"/>
      <c r="F31" s="2"/>
    </row>
    <row r="32" spans="1:11">
      <c r="B32" s="2" t="s">
        <v>159</v>
      </c>
      <c r="D32" s="2"/>
      <c r="E32" s="2"/>
      <c r="F32" s="2"/>
    </row>
    <row r="33" spans="2:6">
      <c r="B33" s="2" t="s">
        <v>207</v>
      </c>
      <c r="D33" s="2"/>
      <c r="E33" s="2"/>
      <c r="F33" s="2"/>
    </row>
    <row r="34" spans="2:6">
      <c r="C34" t="s">
        <v>7</v>
      </c>
    </row>
    <row r="35" spans="2:6">
      <c r="B35" t="s">
        <v>7</v>
      </c>
      <c r="C35" t="s">
        <v>7</v>
      </c>
    </row>
    <row r="36" spans="2:6">
      <c r="C36" t="s">
        <v>10</v>
      </c>
    </row>
    <row r="37" spans="2:6">
      <c r="C37" t="s">
        <v>7</v>
      </c>
    </row>
    <row r="38" spans="2:6">
      <c r="C38" t="s">
        <v>8</v>
      </c>
    </row>
    <row r="39" spans="2:6">
      <c r="B39" t="s">
        <v>7</v>
      </c>
      <c r="C39" t="s">
        <v>8</v>
      </c>
    </row>
    <row r="40" spans="2:6">
      <c r="B40" t="s">
        <v>7</v>
      </c>
      <c r="C40" t="s">
        <v>11</v>
      </c>
    </row>
    <row r="41" spans="2:6">
      <c r="C41" t="s">
        <v>11</v>
      </c>
    </row>
    <row r="51" spans="2:8">
      <c r="B51" s="2" t="s">
        <v>160</v>
      </c>
    </row>
    <row r="52" spans="2:8">
      <c r="H52" s="258"/>
    </row>
    <row r="54" spans="2:8">
      <c r="H54" s="258"/>
    </row>
    <row r="56" spans="2:8">
      <c r="H56" s="258"/>
    </row>
    <row r="58" spans="2:8">
      <c r="H58" s="258"/>
    </row>
    <row r="60" spans="2:8">
      <c r="H60" s="258"/>
    </row>
    <row r="63" spans="2:8">
      <c r="B63" t="s">
        <v>311</v>
      </c>
    </row>
    <row r="64" spans="2:8">
      <c r="B64" t="s">
        <v>311</v>
      </c>
    </row>
  </sheetData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139"/>
  <sheetViews>
    <sheetView zoomScaleNormal="125" zoomScalePageLayoutView="125" workbookViewId="0">
      <selection activeCell="I15" sqref="I15"/>
    </sheetView>
  </sheetViews>
  <sheetFormatPr defaultColWidth="8.85546875" defaultRowHeight="15"/>
  <cols>
    <col min="1" max="1" width="31.140625" customWidth="1"/>
    <col min="2" max="2" width="5.28515625" hidden="1" customWidth="1"/>
    <col min="3" max="3" width="4.85546875" hidden="1" customWidth="1"/>
    <col min="4" max="4" width="5.28515625" hidden="1" customWidth="1"/>
    <col min="5" max="5" width="11" customWidth="1"/>
    <col min="8" max="8" width="20.42578125" customWidth="1"/>
    <col min="13" max="13" width="11.42578125" customWidth="1"/>
    <col min="16" max="16" width="9.42578125" customWidth="1"/>
    <col min="19" max="19" width="31" customWidth="1"/>
  </cols>
  <sheetData>
    <row r="1" spans="1:19" ht="15.75">
      <c r="A1" s="84" t="s">
        <v>58</v>
      </c>
      <c r="B1" s="84"/>
      <c r="C1" s="84"/>
      <c r="D1" s="84"/>
      <c r="E1" s="85"/>
      <c r="F1" s="85"/>
      <c r="G1" s="85"/>
      <c r="H1" s="85"/>
      <c r="J1" s="85"/>
      <c r="K1" s="85"/>
      <c r="L1" s="85"/>
      <c r="M1" s="85"/>
      <c r="N1" s="85"/>
      <c r="O1" s="86"/>
      <c r="P1" s="85"/>
      <c r="Q1" s="87"/>
      <c r="R1" s="87"/>
    </row>
    <row r="2" spans="1:19">
      <c r="A2" s="88"/>
      <c r="B2" s="89" t="s">
        <v>59</v>
      </c>
      <c r="C2" s="88"/>
      <c r="E2" s="88"/>
      <c r="F2" s="88"/>
      <c r="G2" s="88"/>
      <c r="H2" s="88"/>
      <c r="I2" s="83" t="s">
        <v>169</v>
      </c>
      <c r="J2" s="85"/>
      <c r="K2" s="85"/>
      <c r="L2" s="85"/>
      <c r="M2" s="85"/>
      <c r="N2" s="85"/>
      <c r="O2" s="85"/>
      <c r="P2" s="85"/>
      <c r="Q2" s="87"/>
      <c r="R2" s="87"/>
    </row>
    <row r="3" spans="1:19">
      <c r="A3" s="85" t="s">
        <v>204</v>
      </c>
      <c r="B3" s="85"/>
      <c r="C3" s="85" t="s">
        <v>311</v>
      </c>
      <c r="D3" s="90" t="s">
        <v>311</v>
      </c>
      <c r="E3" s="90" t="s">
        <v>170</v>
      </c>
      <c r="F3" s="90"/>
      <c r="G3" s="90"/>
      <c r="N3" s="90"/>
      <c r="O3" s="90"/>
      <c r="P3" s="90"/>
      <c r="Q3" s="91"/>
      <c r="R3" s="91"/>
      <c r="S3" s="85" t="s">
        <v>204</v>
      </c>
    </row>
    <row r="4" spans="1:19">
      <c r="A4" s="88" t="s">
        <v>311</v>
      </c>
      <c r="B4" s="88" t="s">
        <v>171</v>
      </c>
      <c r="C4" s="88"/>
      <c r="H4" s="92" t="s">
        <v>172</v>
      </c>
      <c r="I4" s="93"/>
      <c r="J4" s="93"/>
      <c r="K4" s="93"/>
      <c r="L4" s="93"/>
      <c r="M4" s="93"/>
      <c r="N4" s="94" t="s">
        <v>173</v>
      </c>
      <c r="O4" s="94"/>
      <c r="P4" s="94"/>
      <c r="Q4" s="94"/>
      <c r="R4" s="94"/>
      <c r="S4" s="88" t="s">
        <v>311</v>
      </c>
    </row>
    <row r="5" spans="1:19">
      <c r="A5" s="95" t="s">
        <v>174</v>
      </c>
      <c r="B5" s="90">
        <f t="shared" ref="B5:D6" si="0">C5-1</f>
        <v>-5</v>
      </c>
      <c r="C5" s="90">
        <f t="shared" si="0"/>
        <v>-4</v>
      </c>
      <c r="D5" s="90">
        <f t="shared" si="0"/>
        <v>-3</v>
      </c>
      <c r="E5" s="96">
        <f>F5-1</f>
        <v>-2</v>
      </c>
      <c r="F5" s="96">
        <f>G5-1</f>
        <v>-1</v>
      </c>
      <c r="G5" s="97">
        <v>0</v>
      </c>
      <c r="H5" s="98"/>
      <c r="I5" s="99">
        <f>F5+1</f>
        <v>0</v>
      </c>
      <c r="J5" s="99">
        <f t="shared" ref="J5:M6" si="1">I5+1</f>
        <v>1</v>
      </c>
      <c r="K5" s="99">
        <f t="shared" si="1"/>
        <v>2</v>
      </c>
      <c r="L5" s="99">
        <f t="shared" si="1"/>
        <v>3</v>
      </c>
      <c r="M5" s="99">
        <f t="shared" si="1"/>
        <v>4</v>
      </c>
      <c r="N5" s="90">
        <f>F5+1</f>
        <v>0</v>
      </c>
      <c r="O5" s="90">
        <f t="shared" ref="O5:R6" si="2">N5+1</f>
        <v>1</v>
      </c>
      <c r="P5" s="90">
        <f t="shared" si="2"/>
        <v>2</v>
      </c>
      <c r="Q5" s="90">
        <f t="shared" si="2"/>
        <v>3</v>
      </c>
      <c r="R5" s="90">
        <f t="shared" si="2"/>
        <v>4</v>
      </c>
      <c r="S5" s="95" t="s">
        <v>174</v>
      </c>
    </row>
    <row r="6" spans="1:19">
      <c r="A6" s="100" t="s">
        <v>175</v>
      </c>
      <c r="B6" s="101">
        <f t="shared" si="0"/>
        <v>1998</v>
      </c>
      <c r="C6" s="101">
        <f t="shared" si="0"/>
        <v>1999</v>
      </c>
      <c r="D6" s="101">
        <f t="shared" si="0"/>
        <v>2000</v>
      </c>
      <c r="E6" s="101">
        <f>F6-1</f>
        <v>2001</v>
      </c>
      <c r="F6" s="102">
        <f>G6-1</f>
        <v>2002</v>
      </c>
      <c r="G6" s="103">
        <v>2003</v>
      </c>
      <c r="H6" s="99"/>
      <c r="I6" s="99">
        <f>F6+1</f>
        <v>2003</v>
      </c>
      <c r="J6" s="99">
        <f t="shared" si="1"/>
        <v>2004</v>
      </c>
      <c r="K6" s="99">
        <f t="shared" si="1"/>
        <v>2005</v>
      </c>
      <c r="L6" s="99">
        <f t="shared" si="1"/>
        <v>2006</v>
      </c>
      <c r="M6" s="99">
        <f t="shared" si="1"/>
        <v>2007</v>
      </c>
      <c r="N6" s="101">
        <f>F6+1</f>
        <v>2003</v>
      </c>
      <c r="O6" s="101">
        <f t="shared" si="2"/>
        <v>2004</v>
      </c>
      <c r="P6" s="101">
        <f t="shared" si="2"/>
        <v>2005</v>
      </c>
      <c r="Q6" s="101">
        <f t="shared" si="2"/>
        <v>2006</v>
      </c>
      <c r="R6" s="101">
        <f t="shared" si="2"/>
        <v>2007</v>
      </c>
      <c r="S6" s="100" t="s">
        <v>175</v>
      </c>
    </row>
    <row r="7" spans="1:19">
      <c r="A7" s="87"/>
      <c r="B7" s="87"/>
      <c r="C7" s="87"/>
      <c r="D7" s="87"/>
      <c r="E7" s="85"/>
      <c r="F7" s="85"/>
      <c r="H7" s="104"/>
      <c r="I7" s="105"/>
      <c r="J7" s="105">
        <v>0.5</v>
      </c>
      <c r="K7" s="105"/>
      <c r="L7" s="105"/>
      <c r="M7" s="105"/>
      <c r="N7" s="85"/>
      <c r="O7" s="85"/>
      <c r="P7" s="85"/>
      <c r="Q7" s="85"/>
      <c r="R7" s="85"/>
      <c r="S7" s="87"/>
    </row>
    <row r="8" spans="1:19">
      <c r="A8" s="87" t="s">
        <v>265</v>
      </c>
      <c r="B8" s="106">
        <v>0</v>
      </c>
      <c r="C8" s="106">
        <v>0</v>
      </c>
      <c r="D8" s="106">
        <v>0</v>
      </c>
      <c r="E8" s="106">
        <v>1697</v>
      </c>
      <c r="F8" s="106">
        <v>2013</v>
      </c>
      <c r="G8" s="106">
        <v>2694</v>
      </c>
      <c r="H8" s="107" t="s">
        <v>176</v>
      </c>
      <c r="I8" s="108">
        <v>0.1</v>
      </c>
      <c r="J8" s="108">
        <v>0.12</v>
      </c>
      <c r="K8" s="108">
        <v>0.12</v>
      </c>
      <c r="L8" s="108">
        <v>0.12</v>
      </c>
      <c r="M8" s="108">
        <v>0.08</v>
      </c>
      <c r="N8" s="109">
        <f>F8*(1+I8)</f>
        <v>2214.3000000000002</v>
      </c>
      <c r="O8" s="109">
        <f>N8*(1+J8)</f>
        <v>2480.0160000000005</v>
      </c>
      <c r="P8" s="109">
        <f>O8*(1+K8)</f>
        <v>2777.617920000001</v>
      </c>
      <c r="Q8" s="109">
        <f>P8*(1+L8)</f>
        <v>3110.9320704000015</v>
      </c>
      <c r="R8" s="109">
        <f>Q8*(1+M8)</f>
        <v>3359.8066360320017</v>
      </c>
      <c r="S8" s="87" t="s">
        <v>265</v>
      </c>
    </row>
    <row r="9" spans="1:19">
      <c r="A9" s="110" t="s">
        <v>145</v>
      </c>
      <c r="B9" s="111">
        <v>0</v>
      </c>
      <c r="C9" s="111">
        <v>0</v>
      </c>
      <c r="D9" s="111">
        <v>0</v>
      </c>
      <c r="E9" s="111">
        <v>1222</v>
      </c>
      <c r="F9" s="111">
        <v>1437</v>
      </c>
      <c r="G9" s="111">
        <v>1950</v>
      </c>
      <c r="H9" s="107" t="s">
        <v>177</v>
      </c>
      <c r="I9" s="108">
        <v>0.66</v>
      </c>
      <c r="J9" s="108">
        <v>0.67</v>
      </c>
      <c r="K9" s="108">
        <v>0.64</v>
      </c>
      <c r="L9" s="108">
        <v>0.63</v>
      </c>
      <c r="M9" s="108">
        <v>0.63</v>
      </c>
      <c r="N9" s="112">
        <f>-N8*I9</f>
        <v>-1461.4380000000001</v>
      </c>
      <c r="O9" s="112">
        <f>-O8*J9</f>
        <v>-1661.6107200000004</v>
      </c>
      <c r="P9" s="112">
        <f>-P8*K9</f>
        <v>-1777.6754688000008</v>
      </c>
      <c r="Q9" s="112">
        <f>-Q8*L9</f>
        <v>-1959.8872043520009</v>
      </c>
      <c r="R9" s="112">
        <f>-R8*M9</f>
        <v>-2116.6781807001612</v>
      </c>
      <c r="S9" s="110" t="s">
        <v>145</v>
      </c>
    </row>
    <row r="10" spans="1:19">
      <c r="A10" s="87" t="s">
        <v>141</v>
      </c>
      <c r="B10" s="109">
        <f>B8+B9</f>
        <v>0</v>
      </c>
      <c r="C10" s="109">
        <f>C8+C9</f>
        <v>0</v>
      </c>
      <c r="D10" s="109">
        <f>D8+D9</f>
        <v>0</v>
      </c>
      <c r="E10" s="109">
        <f>E8-E9</f>
        <v>475</v>
      </c>
      <c r="F10" s="109">
        <f>F8-F9</f>
        <v>576</v>
      </c>
      <c r="G10" s="109">
        <f>G8-G9</f>
        <v>744</v>
      </c>
      <c r="H10" s="109" t="s">
        <v>311</v>
      </c>
      <c r="I10" s="109" t="s">
        <v>311</v>
      </c>
      <c r="J10" s="109" t="s">
        <v>311</v>
      </c>
      <c r="K10" s="109" t="s">
        <v>311</v>
      </c>
      <c r="L10" s="109" t="s">
        <v>311</v>
      </c>
      <c r="M10" s="109" t="s">
        <v>311</v>
      </c>
      <c r="N10" s="109">
        <f>N8+N9</f>
        <v>752.86200000000008</v>
      </c>
      <c r="O10" s="109">
        <f>O8+O9</f>
        <v>818.40528000000018</v>
      </c>
      <c r="P10" s="109">
        <f>P8+P9</f>
        <v>999.94245120000028</v>
      </c>
      <c r="Q10" s="109">
        <f>Q8+Q9</f>
        <v>1151.0448660480006</v>
      </c>
      <c r="R10" s="109">
        <f>R8+R9</f>
        <v>1243.1284553318405</v>
      </c>
      <c r="S10" s="87" t="s">
        <v>141</v>
      </c>
    </row>
    <row r="11" spans="1:19">
      <c r="A11" s="87" t="s">
        <v>138</v>
      </c>
      <c r="B11" s="106">
        <v>0</v>
      </c>
      <c r="C11" s="106">
        <v>0</v>
      </c>
      <c r="D11" s="106">
        <v>0</v>
      </c>
      <c r="E11" s="106">
        <v>0</v>
      </c>
      <c r="F11" s="106">
        <v>0</v>
      </c>
      <c r="G11" s="106">
        <v>0</v>
      </c>
      <c r="H11" s="107" t="s">
        <v>178</v>
      </c>
      <c r="I11" s="113" t="s">
        <v>311</v>
      </c>
      <c r="J11" s="113" t="s">
        <v>311</v>
      </c>
      <c r="K11" s="113" t="s">
        <v>311</v>
      </c>
      <c r="L11" s="113" t="s">
        <v>311</v>
      </c>
      <c r="M11" s="113" t="s">
        <v>311</v>
      </c>
      <c r="N11" s="109" t="str">
        <f>I11</f>
        <v xml:space="preserve"> </v>
      </c>
      <c r="O11" s="109" t="str">
        <f>J11</f>
        <v xml:space="preserve"> </v>
      </c>
      <c r="P11" s="109" t="str">
        <f>K11</f>
        <v xml:space="preserve"> </v>
      </c>
      <c r="Q11" s="109" t="str">
        <f>L11</f>
        <v xml:space="preserve"> </v>
      </c>
      <c r="R11" s="109" t="str">
        <f>M11</f>
        <v xml:space="preserve"> </v>
      </c>
      <c r="S11" s="87" t="s">
        <v>138</v>
      </c>
    </row>
    <row r="12" spans="1:19">
      <c r="A12" s="87" t="s">
        <v>179</v>
      </c>
      <c r="B12" s="106">
        <v>0</v>
      </c>
      <c r="C12" s="106">
        <v>0</v>
      </c>
      <c r="D12" s="106">
        <v>0</v>
      </c>
      <c r="E12" s="106">
        <v>425</v>
      </c>
      <c r="F12" s="106">
        <v>515</v>
      </c>
      <c r="G12" s="106">
        <v>658</v>
      </c>
      <c r="H12" s="107" t="s">
        <v>180</v>
      </c>
      <c r="I12" s="114">
        <f>G12/G8</f>
        <v>0.24424647364513735</v>
      </c>
      <c r="J12" s="114">
        <v>0.08</v>
      </c>
      <c r="K12" s="114">
        <v>7.1999999999999995E-2</v>
      </c>
      <c r="L12" s="114">
        <v>6.5000000000000002E-2</v>
      </c>
      <c r="M12" s="114">
        <v>0.06</v>
      </c>
      <c r="N12" s="109">
        <f>-N8*I12</f>
        <v>-540.83496659242769</v>
      </c>
      <c r="O12" s="109">
        <f>-O8*J12</f>
        <v>-198.40128000000004</v>
      </c>
      <c r="P12" s="109">
        <f>-P8*K12</f>
        <v>-199.98849024000006</v>
      </c>
      <c r="Q12" s="109">
        <f>-Q8*L12</f>
        <v>-202.21058457600012</v>
      </c>
      <c r="R12" s="109">
        <f>-R8*M12</f>
        <v>-201.58839816192008</v>
      </c>
      <c r="S12" s="87" t="s">
        <v>179</v>
      </c>
    </row>
    <row r="13" spans="1:19">
      <c r="A13" s="87" t="s">
        <v>181</v>
      </c>
      <c r="B13" s="106">
        <v>0</v>
      </c>
      <c r="C13" s="106">
        <v>0</v>
      </c>
      <c r="D13" s="106">
        <v>0</v>
      </c>
      <c r="E13" s="106">
        <v>0</v>
      </c>
      <c r="F13" s="106">
        <v>0</v>
      </c>
      <c r="G13" s="106">
        <v>0</v>
      </c>
      <c r="H13" s="107" t="s">
        <v>180</v>
      </c>
      <c r="I13" s="114">
        <f>-F13/F8</f>
        <v>0</v>
      </c>
      <c r="J13" s="114">
        <v>0</v>
      </c>
      <c r="K13" s="114">
        <v>0</v>
      </c>
      <c r="L13" s="114">
        <v>0</v>
      </c>
      <c r="M13" s="114">
        <v>0</v>
      </c>
      <c r="N13" s="109">
        <f>-N8*I13</f>
        <v>0</v>
      </c>
      <c r="O13" s="109">
        <f>-O8*J13</f>
        <v>0</v>
      </c>
      <c r="P13" s="109">
        <f>-P8*K13</f>
        <v>0</v>
      </c>
      <c r="Q13" s="109">
        <f>-Q8*L13</f>
        <v>0</v>
      </c>
      <c r="R13" s="109">
        <f>-R8*M13</f>
        <v>0</v>
      </c>
      <c r="S13" s="87" t="s">
        <v>181</v>
      </c>
    </row>
    <row r="14" spans="1:19">
      <c r="A14" s="87" t="s">
        <v>182</v>
      </c>
      <c r="B14" s="106">
        <v>0</v>
      </c>
      <c r="C14" s="106">
        <v>0</v>
      </c>
      <c r="D14" s="106">
        <v>0</v>
      </c>
      <c r="E14" s="106">
        <v>0</v>
      </c>
      <c r="F14" s="106">
        <v>0</v>
      </c>
      <c r="G14" s="106">
        <v>0</v>
      </c>
      <c r="H14" s="107" t="s">
        <v>183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9">
        <f>-N54*I14</f>
        <v>0</v>
      </c>
      <c r="O14" s="109">
        <f>-O54*J14</f>
        <v>0</v>
      </c>
      <c r="P14" s="109">
        <f>-P54*K14</f>
        <v>0</v>
      </c>
      <c r="Q14" s="109">
        <f>-Q54*L14</f>
        <v>0</v>
      </c>
      <c r="R14" s="109">
        <f>-R54*M14</f>
        <v>0</v>
      </c>
      <c r="S14" s="87" t="s">
        <v>182</v>
      </c>
    </row>
    <row r="15" spans="1:19">
      <c r="A15" s="87" t="s">
        <v>184</v>
      </c>
      <c r="B15" s="106">
        <v>0</v>
      </c>
      <c r="C15" s="106">
        <v>0</v>
      </c>
      <c r="D15" s="106">
        <v>0</v>
      </c>
      <c r="E15" s="106">
        <v>0</v>
      </c>
      <c r="F15" s="106">
        <v>0</v>
      </c>
      <c r="G15" s="106">
        <v>0</v>
      </c>
      <c r="H15" s="107" t="s">
        <v>180</v>
      </c>
      <c r="I15" s="114">
        <f>-F15/F8</f>
        <v>0</v>
      </c>
      <c r="J15" s="114">
        <v>1.9E-2</v>
      </c>
      <c r="K15" s="114">
        <v>1.9E-2</v>
      </c>
      <c r="L15" s="114">
        <v>1.9E-2</v>
      </c>
      <c r="M15" s="114">
        <v>1.9E-2</v>
      </c>
      <c r="N15" s="109">
        <f>-N8*I15</f>
        <v>0</v>
      </c>
      <c r="O15" s="109">
        <f>-O8*J15</f>
        <v>-47.120304000000012</v>
      </c>
      <c r="P15" s="109">
        <f>-P8*K15</f>
        <v>-52.77474048000002</v>
      </c>
      <c r="Q15" s="109">
        <f>-Q8*L15</f>
        <v>-59.107709337600028</v>
      </c>
      <c r="R15" s="109">
        <f>-R8*M15</f>
        <v>-63.836326084608032</v>
      </c>
      <c r="S15" s="87" t="s">
        <v>184</v>
      </c>
    </row>
    <row r="16" spans="1:19">
      <c r="A16" s="110" t="s">
        <v>185</v>
      </c>
      <c r="B16" s="111">
        <v>0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07" t="s">
        <v>178</v>
      </c>
      <c r="I16" s="115">
        <v>0</v>
      </c>
      <c r="J16" s="115">
        <v>0</v>
      </c>
      <c r="K16" s="115">
        <v>0</v>
      </c>
      <c r="L16" s="115">
        <v>0</v>
      </c>
      <c r="M16" s="115">
        <v>0</v>
      </c>
      <c r="N16" s="116">
        <f>I16</f>
        <v>0</v>
      </c>
      <c r="O16" s="116">
        <f>J16</f>
        <v>0</v>
      </c>
      <c r="P16" s="116">
        <f>K16</f>
        <v>0</v>
      </c>
      <c r="Q16" s="116">
        <f>L16</f>
        <v>0</v>
      </c>
      <c r="R16" s="116">
        <f>M16</f>
        <v>0</v>
      </c>
      <c r="S16" s="110" t="s">
        <v>185</v>
      </c>
    </row>
    <row r="17" spans="1:19">
      <c r="A17" s="87" t="s">
        <v>186</v>
      </c>
      <c r="B17" s="109">
        <f t="shared" ref="B17:G17" si="3">B9+SUM(B11:B16)</f>
        <v>0</v>
      </c>
      <c r="C17" s="109">
        <f t="shared" si="3"/>
        <v>0</v>
      </c>
      <c r="D17" s="109">
        <f t="shared" si="3"/>
        <v>0</v>
      </c>
      <c r="E17" s="109">
        <f t="shared" si="3"/>
        <v>1647</v>
      </c>
      <c r="F17" s="109">
        <f t="shared" si="3"/>
        <v>1952</v>
      </c>
      <c r="G17" s="109">
        <f t="shared" si="3"/>
        <v>2608</v>
      </c>
      <c r="H17" s="109" t="s">
        <v>311</v>
      </c>
      <c r="I17" s="109" t="s">
        <v>311</v>
      </c>
      <c r="J17" s="109" t="s">
        <v>311</v>
      </c>
      <c r="K17" s="109" t="s">
        <v>311</v>
      </c>
      <c r="L17" s="109" t="s">
        <v>311</v>
      </c>
      <c r="M17" s="109" t="s">
        <v>311</v>
      </c>
      <c r="N17" s="109">
        <f>N9+SUM(N11:N16)</f>
        <v>-2002.2729665924278</v>
      </c>
      <c r="O17" s="109">
        <f>O9+SUM(O11:O16)</f>
        <v>-1907.1323040000004</v>
      </c>
      <c r="P17" s="109">
        <f>P9+SUM(P11:P16)</f>
        <v>-2030.4386995200009</v>
      </c>
      <c r="Q17" s="109">
        <f>Q9+SUM(Q11:Q16)</f>
        <v>-2221.2054982656009</v>
      </c>
      <c r="R17" s="109">
        <f>R9+SUM(R11:R16)</f>
        <v>-2382.1029049466893</v>
      </c>
      <c r="S17" s="87" t="s">
        <v>186</v>
      </c>
    </row>
    <row r="18" spans="1:19">
      <c r="A18" s="110" t="s">
        <v>187</v>
      </c>
      <c r="B18" s="117">
        <f>B8+B17</f>
        <v>0</v>
      </c>
      <c r="C18" s="117">
        <f>C8+C17</f>
        <v>0</v>
      </c>
      <c r="D18" s="117">
        <f>D8+D17</f>
        <v>0</v>
      </c>
      <c r="E18" s="117">
        <f>E8-E17</f>
        <v>50</v>
      </c>
      <c r="F18" s="117">
        <f>F8-F17</f>
        <v>61</v>
      </c>
      <c r="G18" s="117">
        <f>G8-G17</f>
        <v>86</v>
      </c>
      <c r="H18" s="117" t="s">
        <v>311</v>
      </c>
      <c r="I18" s="117" t="s">
        <v>311</v>
      </c>
      <c r="J18" s="117" t="s">
        <v>311</v>
      </c>
      <c r="K18" s="117" t="s">
        <v>311</v>
      </c>
      <c r="L18" s="117" t="s">
        <v>311</v>
      </c>
      <c r="M18" s="117" t="s">
        <v>188</v>
      </c>
      <c r="N18" s="117">
        <f>N8+N17</f>
        <v>212.02703340757239</v>
      </c>
      <c r="O18" s="117">
        <f>O8+O17</f>
        <v>572.8836960000001</v>
      </c>
      <c r="P18" s="117">
        <f>P8+P17</f>
        <v>747.17922048000014</v>
      </c>
      <c r="Q18" s="117">
        <f>Q8+Q17</f>
        <v>889.72657213440061</v>
      </c>
      <c r="R18" s="117">
        <f>R8+R17</f>
        <v>977.70373108531248</v>
      </c>
      <c r="S18" s="110" t="s">
        <v>187</v>
      </c>
    </row>
    <row r="19" spans="1:19">
      <c r="A19" s="87" t="s">
        <v>189</v>
      </c>
      <c r="B19" s="106">
        <v>0</v>
      </c>
      <c r="C19" s="106">
        <v>0</v>
      </c>
      <c r="D19" s="106">
        <v>0</v>
      </c>
      <c r="E19" s="106">
        <v>13</v>
      </c>
      <c r="F19" s="106">
        <v>20</v>
      </c>
      <c r="G19" s="106">
        <v>33</v>
      </c>
      <c r="H19" s="107"/>
      <c r="I19" s="118"/>
      <c r="J19" s="118"/>
      <c r="K19" s="118"/>
      <c r="L19" s="118"/>
      <c r="M19" s="118"/>
      <c r="N19" s="119">
        <v>0</v>
      </c>
      <c r="O19" s="119">
        <f>I19</f>
        <v>0</v>
      </c>
      <c r="P19" s="119">
        <f>J19</f>
        <v>0</v>
      </c>
      <c r="Q19" s="119">
        <f>K19</f>
        <v>0</v>
      </c>
      <c r="R19" s="119">
        <f>L19</f>
        <v>0</v>
      </c>
      <c r="S19" s="87" t="s">
        <v>189</v>
      </c>
    </row>
    <row r="20" spans="1:19">
      <c r="A20" s="87" t="s">
        <v>190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7" t="s">
        <v>178</v>
      </c>
      <c r="I20" s="115">
        <v>5</v>
      </c>
      <c r="J20" s="115">
        <v>5</v>
      </c>
      <c r="K20" s="115">
        <v>5</v>
      </c>
      <c r="L20" s="115">
        <v>5</v>
      </c>
      <c r="M20" s="115">
        <v>5</v>
      </c>
      <c r="N20" s="119">
        <f t="shared" ref="N20:R21" si="4">I20</f>
        <v>5</v>
      </c>
      <c r="O20" s="119">
        <f t="shared" si="4"/>
        <v>5</v>
      </c>
      <c r="P20" s="119">
        <f t="shared" si="4"/>
        <v>5</v>
      </c>
      <c r="Q20" s="119">
        <f t="shared" si="4"/>
        <v>5</v>
      </c>
      <c r="R20" s="119">
        <f t="shared" si="4"/>
        <v>5</v>
      </c>
      <c r="S20" s="87" t="s">
        <v>190</v>
      </c>
    </row>
    <row r="21" spans="1:19">
      <c r="A21" s="110" t="s">
        <v>191</v>
      </c>
      <c r="B21" s="111">
        <v>0</v>
      </c>
      <c r="C21" s="111">
        <v>0</v>
      </c>
      <c r="D21" s="111">
        <v>0</v>
      </c>
      <c r="E21" s="111">
        <v>0</v>
      </c>
      <c r="F21" s="111">
        <v>0</v>
      </c>
      <c r="G21" s="111">
        <v>0</v>
      </c>
      <c r="H21" s="107" t="s">
        <v>178</v>
      </c>
      <c r="I21" s="115">
        <v>0</v>
      </c>
      <c r="J21" s="115">
        <v>0</v>
      </c>
      <c r="K21" s="115">
        <v>0</v>
      </c>
      <c r="L21" s="115">
        <v>0</v>
      </c>
      <c r="M21" s="115">
        <v>0</v>
      </c>
      <c r="N21" s="116">
        <f t="shared" si="4"/>
        <v>0</v>
      </c>
      <c r="O21" s="116">
        <f t="shared" si="4"/>
        <v>0</v>
      </c>
      <c r="P21" s="116">
        <f t="shared" si="4"/>
        <v>0</v>
      </c>
      <c r="Q21" s="116">
        <f t="shared" si="4"/>
        <v>0</v>
      </c>
      <c r="R21" s="116">
        <f t="shared" si="4"/>
        <v>0</v>
      </c>
      <c r="S21" s="110" t="s">
        <v>191</v>
      </c>
    </row>
    <row r="22" spans="1:19">
      <c r="A22" s="87" t="s">
        <v>276</v>
      </c>
      <c r="B22" s="109">
        <f>SUM(B18:B21)</f>
        <v>0</v>
      </c>
      <c r="C22" s="109">
        <f>SUM(C18:C21)</f>
        <v>0</v>
      </c>
      <c r="D22" s="109">
        <f>SUM(D18:D21)</f>
        <v>0</v>
      </c>
      <c r="E22" s="109">
        <f>E18-E19+E20-E21</f>
        <v>37</v>
      </c>
      <c r="F22" s="109">
        <f>F18-F19+F20-F21</f>
        <v>41</v>
      </c>
      <c r="G22" s="109">
        <f>G18-G19+G20-G21</f>
        <v>53</v>
      </c>
      <c r="H22" s="109" t="s">
        <v>311</v>
      </c>
      <c r="I22" s="109" t="s">
        <v>311</v>
      </c>
      <c r="J22" s="109" t="s">
        <v>311</v>
      </c>
      <c r="K22" s="109" t="s">
        <v>311</v>
      </c>
      <c r="L22" s="109" t="s">
        <v>188</v>
      </c>
      <c r="M22" s="109" t="s">
        <v>311</v>
      </c>
      <c r="N22" s="109">
        <f>SUM(N18:N21)</f>
        <v>217.02703340757239</v>
      </c>
      <c r="O22" s="109">
        <f>SUM(O18:O21)</f>
        <v>577.8836960000001</v>
      </c>
      <c r="P22" s="109">
        <f>SUM(P18:P21)</f>
        <v>752.17922048000014</v>
      </c>
      <c r="Q22" s="109">
        <f>SUM(Q18:Q21)</f>
        <v>894.72657213440061</v>
      </c>
      <c r="R22" s="109">
        <f>SUM(R18:R21)</f>
        <v>982.70373108531248</v>
      </c>
      <c r="S22" s="87" t="s">
        <v>276</v>
      </c>
    </row>
    <row r="23" spans="1:19">
      <c r="A23" s="110" t="s">
        <v>272</v>
      </c>
      <c r="B23" s="111">
        <v>0</v>
      </c>
      <c r="C23" s="111">
        <v>0</v>
      </c>
      <c r="D23" s="111">
        <v>0</v>
      </c>
      <c r="E23" s="111">
        <v>6</v>
      </c>
      <c r="F23" s="111">
        <v>7</v>
      </c>
      <c r="G23" s="111">
        <v>9</v>
      </c>
      <c r="H23" s="107" t="s">
        <v>192</v>
      </c>
      <c r="I23" s="114">
        <f>-F23/F22</f>
        <v>-0.17073170731707318</v>
      </c>
      <c r="J23" s="114">
        <f>I23</f>
        <v>-0.17073170731707318</v>
      </c>
      <c r="K23" s="114">
        <f>J23</f>
        <v>-0.17073170731707318</v>
      </c>
      <c r="L23" s="114">
        <f>K23</f>
        <v>-0.17073170731707318</v>
      </c>
      <c r="M23" s="114">
        <f>L23</f>
        <v>-0.17073170731707318</v>
      </c>
      <c r="N23" s="117">
        <f>-N22*I23</f>
        <v>37.053395947634314</v>
      </c>
      <c r="O23" s="117">
        <f>-O22*J23</f>
        <v>98.663070048780511</v>
      </c>
      <c r="P23" s="117">
        <f>-P22*K23</f>
        <v>128.42084252097564</v>
      </c>
      <c r="Q23" s="117">
        <f>-Q22*L23</f>
        <v>152.75819524245864</v>
      </c>
      <c r="R23" s="117">
        <f>-R22*M23</f>
        <v>167.77868579505338</v>
      </c>
      <c r="S23" s="110" t="s">
        <v>272</v>
      </c>
    </row>
    <row r="24" spans="1:19">
      <c r="A24" s="87" t="s">
        <v>193</v>
      </c>
      <c r="B24" s="109">
        <f>SUM(B22:B23)</f>
        <v>0</v>
      </c>
      <c r="C24" s="109">
        <f>SUM(C22:C23)</f>
        <v>0</v>
      </c>
      <c r="D24" s="109">
        <f>SUM(D22:D23)</f>
        <v>0</v>
      </c>
      <c r="E24" s="109">
        <f>E22-E23</f>
        <v>31</v>
      </c>
      <c r="F24" s="109">
        <f>F22-F23</f>
        <v>34</v>
      </c>
      <c r="G24" s="109">
        <f>G22-G23</f>
        <v>44</v>
      </c>
      <c r="H24" s="109" t="s">
        <v>311</v>
      </c>
      <c r="I24" s="109" t="s">
        <v>311</v>
      </c>
      <c r="J24" s="109" t="s">
        <v>311</v>
      </c>
      <c r="K24" s="109" t="s">
        <v>311</v>
      </c>
      <c r="L24" s="109" t="s">
        <v>311</v>
      </c>
      <c r="M24" s="109" t="s">
        <v>311</v>
      </c>
      <c r="N24" s="109">
        <f>SUM(N22:N23)</f>
        <v>254.08042935520672</v>
      </c>
      <c r="O24" s="109">
        <f>SUM(O22:O23)</f>
        <v>676.54676604878057</v>
      </c>
      <c r="P24" s="109">
        <f>SUM(P22:P23)</f>
        <v>880.60006300097575</v>
      </c>
      <c r="Q24" s="109">
        <f>SUM(Q22:Q23)</f>
        <v>1047.4847673768593</v>
      </c>
      <c r="R24" s="109">
        <f>SUM(R22:R23)</f>
        <v>1150.4824168803659</v>
      </c>
      <c r="S24" s="87" t="s">
        <v>193</v>
      </c>
    </row>
    <row r="25" spans="1:19">
      <c r="A25" s="87" t="s">
        <v>194</v>
      </c>
      <c r="B25" s="106">
        <v>0</v>
      </c>
      <c r="C25" s="106">
        <v>0</v>
      </c>
      <c r="D25" s="106">
        <v>0</v>
      </c>
      <c r="E25" s="106">
        <v>0</v>
      </c>
      <c r="F25" s="106">
        <v>0</v>
      </c>
      <c r="G25" s="106">
        <v>0</v>
      </c>
      <c r="H25" s="107"/>
      <c r="I25" s="120">
        <v>0</v>
      </c>
      <c r="J25" s="120">
        <v>0</v>
      </c>
      <c r="K25" s="120">
        <v>0</v>
      </c>
      <c r="L25" s="120">
        <v>0</v>
      </c>
      <c r="M25" s="120">
        <v>0</v>
      </c>
      <c r="N25" s="119">
        <f t="shared" ref="N25:R26" si="5">I25</f>
        <v>0</v>
      </c>
      <c r="O25" s="119">
        <f t="shared" si="5"/>
        <v>0</v>
      </c>
      <c r="P25" s="119">
        <f t="shared" si="5"/>
        <v>0</v>
      </c>
      <c r="Q25" s="119">
        <f t="shared" si="5"/>
        <v>0</v>
      </c>
      <c r="R25" s="119">
        <f t="shared" si="5"/>
        <v>0</v>
      </c>
      <c r="S25" s="87" t="s">
        <v>194</v>
      </c>
    </row>
    <row r="26" spans="1:19">
      <c r="A26" s="110" t="s">
        <v>195</v>
      </c>
      <c r="B26" s="111">
        <v>0</v>
      </c>
      <c r="C26" s="111">
        <v>0</v>
      </c>
      <c r="D26" s="111">
        <v>0</v>
      </c>
      <c r="E26" s="111">
        <v>0</v>
      </c>
      <c r="F26" s="111">
        <v>0</v>
      </c>
      <c r="G26" s="111">
        <v>0</v>
      </c>
      <c r="H26" s="107"/>
      <c r="I26" s="120">
        <v>0</v>
      </c>
      <c r="J26" s="120">
        <v>0</v>
      </c>
      <c r="K26" s="120">
        <v>0</v>
      </c>
      <c r="L26" s="120">
        <v>0</v>
      </c>
      <c r="M26" s="120">
        <v>0</v>
      </c>
      <c r="N26" s="116">
        <f t="shared" si="5"/>
        <v>0</v>
      </c>
      <c r="O26" s="116">
        <f t="shared" si="5"/>
        <v>0</v>
      </c>
      <c r="P26" s="116">
        <f t="shared" si="5"/>
        <v>0</v>
      </c>
      <c r="Q26" s="116">
        <f t="shared" si="5"/>
        <v>0</v>
      </c>
      <c r="R26" s="116">
        <f t="shared" si="5"/>
        <v>0</v>
      </c>
      <c r="S26" s="110" t="s">
        <v>195</v>
      </c>
    </row>
    <row r="27" spans="1:19">
      <c r="A27" s="87" t="s">
        <v>196</v>
      </c>
      <c r="B27" s="109">
        <f t="shared" ref="B27:G27" si="6">SUM(B24:B26)</f>
        <v>0</v>
      </c>
      <c r="C27" s="109">
        <f t="shared" si="6"/>
        <v>0</v>
      </c>
      <c r="D27" s="109">
        <f t="shared" si="6"/>
        <v>0</v>
      </c>
      <c r="E27" s="109">
        <f t="shared" si="6"/>
        <v>31</v>
      </c>
      <c r="F27" s="109">
        <f t="shared" si="6"/>
        <v>34</v>
      </c>
      <c r="G27" s="109">
        <f t="shared" si="6"/>
        <v>44</v>
      </c>
      <c r="H27" s="109" t="s">
        <v>311</v>
      </c>
      <c r="I27" s="109" t="s">
        <v>311</v>
      </c>
      <c r="J27" s="109" t="s">
        <v>311</v>
      </c>
      <c r="K27" s="109" t="s">
        <v>311</v>
      </c>
      <c r="L27" s="109" t="s">
        <v>311</v>
      </c>
      <c r="M27" s="109" t="s">
        <v>311</v>
      </c>
      <c r="N27" s="109">
        <f>SUM(N24:N26)</f>
        <v>254.08042935520672</v>
      </c>
      <c r="O27" s="109">
        <f>SUM(O24:O26)</f>
        <v>676.54676604878057</v>
      </c>
      <c r="P27" s="109">
        <f>SUM(P24:P26)</f>
        <v>880.60006300097575</v>
      </c>
      <c r="Q27" s="109">
        <f>SUM(Q24:Q26)</f>
        <v>1047.4847673768593</v>
      </c>
      <c r="R27" s="109">
        <f>SUM(R24:R26)</f>
        <v>1150.4824168803659</v>
      </c>
      <c r="S27" s="87" t="s">
        <v>196</v>
      </c>
    </row>
    <row r="28" spans="1:19">
      <c r="A28" s="87" t="s">
        <v>262</v>
      </c>
      <c r="B28" s="106">
        <v>0</v>
      </c>
      <c r="C28" s="106">
        <v>0</v>
      </c>
      <c r="D28" s="106">
        <v>0</v>
      </c>
      <c r="E28" s="106">
        <v>0</v>
      </c>
      <c r="F28" s="106">
        <v>0</v>
      </c>
      <c r="G28" s="106">
        <v>0</v>
      </c>
      <c r="H28" s="107" t="s">
        <v>197</v>
      </c>
      <c r="I28" s="108">
        <v>0.1</v>
      </c>
      <c r="J28" s="108">
        <v>0.15</v>
      </c>
      <c r="K28" s="108">
        <v>0.2</v>
      </c>
      <c r="L28" s="108">
        <v>0.25</v>
      </c>
      <c r="M28" s="108">
        <v>0.25</v>
      </c>
      <c r="N28" s="109">
        <f>-N27*I28</f>
        <v>-25.408042935520673</v>
      </c>
      <c r="O28" s="109">
        <f>-O27*J28</f>
        <v>-101.48201490731708</v>
      </c>
      <c r="P28" s="109">
        <f>-P27*K28</f>
        <v>-176.12001260019517</v>
      </c>
      <c r="Q28" s="109">
        <f>-Q27*L28</f>
        <v>-261.87119184421482</v>
      </c>
      <c r="R28" s="109">
        <f>-R27*M28</f>
        <v>-287.62060422009148</v>
      </c>
      <c r="S28" s="87" t="s">
        <v>262</v>
      </c>
    </row>
    <row r="29" spans="1:19">
      <c r="A29" s="110" t="s">
        <v>198</v>
      </c>
      <c r="B29" s="111">
        <v>0</v>
      </c>
      <c r="C29" s="111">
        <v>0</v>
      </c>
      <c r="D29" s="111">
        <v>0</v>
      </c>
      <c r="E29" s="111">
        <v>0</v>
      </c>
      <c r="F29" s="111">
        <v>0</v>
      </c>
      <c r="G29" s="111">
        <v>0</v>
      </c>
      <c r="H29" s="107"/>
      <c r="I29" s="121">
        <v>0</v>
      </c>
      <c r="J29" s="121">
        <v>0</v>
      </c>
      <c r="K29" s="121">
        <v>0</v>
      </c>
      <c r="L29" s="121">
        <v>0</v>
      </c>
      <c r="M29" s="121">
        <v>0</v>
      </c>
      <c r="N29" s="116">
        <f>I29</f>
        <v>0</v>
      </c>
      <c r="O29" s="116">
        <f>J29</f>
        <v>0</v>
      </c>
      <c r="P29" s="116">
        <f>K29</f>
        <v>0</v>
      </c>
      <c r="Q29" s="116">
        <f>L29</f>
        <v>0</v>
      </c>
      <c r="R29" s="116">
        <f>M29</f>
        <v>0</v>
      </c>
      <c r="S29" s="110" t="s">
        <v>198</v>
      </c>
    </row>
    <row r="30" spans="1:19">
      <c r="A30" s="87" t="s">
        <v>260</v>
      </c>
      <c r="B30" s="109">
        <f t="shared" ref="B30:G30" si="7">SUM(B27:B29)</f>
        <v>0</v>
      </c>
      <c r="C30" s="109">
        <f t="shared" si="7"/>
        <v>0</v>
      </c>
      <c r="D30" s="109">
        <f t="shared" si="7"/>
        <v>0</v>
      </c>
      <c r="E30" s="109">
        <f t="shared" si="7"/>
        <v>31</v>
      </c>
      <c r="F30" s="109">
        <f t="shared" si="7"/>
        <v>34</v>
      </c>
      <c r="G30" s="109">
        <f t="shared" si="7"/>
        <v>44</v>
      </c>
      <c r="H30" s="109" t="s">
        <v>311</v>
      </c>
      <c r="I30" s="109" t="s">
        <v>311</v>
      </c>
      <c r="J30" s="109" t="s">
        <v>311</v>
      </c>
      <c r="K30" s="109" t="s">
        <v>311</v>
      </c>
      <c r="L30" s="109" t="s">
        <v>311</v>
      </c>
      <c r="M30" s="109" t="s">
        <v>311</v>
      </c>
      <c r="N30" s="109">
        <f>SUM(N27:N29)</f>
        <v>228.67238641968603</v>
      </c>
      <c r="O30" s="109">
        <f>SUM(O27:O29)</f>
        <v>575.06475114146349</v>
      </c>
      <c r="P30" s="109">
        <f>SUM(P27:P29)</f>
        <v>704.48005040078056</v>
      </c>
      <c r="Q30" s="109">
        <f>SUM(Q27:Q29)</f>
        <v>785.61357553264452</v>
      </c>
      <c r="R30" s="109">
        <f>SUM(R27:R29)</f>
        <v>862.86181266027438</v>
      </c>
      <c r="S30" s="87" t="s">
        <v>260</v>
      </c>
    </row>
    <row r="31" spans="1:19">
      <c r="A31" s="87"/>
      <c r="B31" s="87"/>
      <c r="C31" s="87"/>
      <c r="D31" s="122"/>
      <c r="E31" s="122"/>
      <c r="F31" s="122"/>
      <c r="G31" s="122"/>
      <c r="H31" s="123" t="s">
        <v>311</v>
      </c>
      <c r="I31" s="107"/>
      <c r="J31" s="107"/>
      <c r="K31" s="107"/>
      <c r="L31" s="107"/>
      <c r="M31" s="107"/>
      <c r="N31" s="122"/>
      <c r="O31" s="122"/>
      <c r="P31" s="122"/>
      <c r="Q31" s="122"/>
      <c r="R31" s="122"/>
      <c r="S31" s="87"/>
    </row>
    <row r="32" spans="1:19">
      <c r="A32" s="85" t="s">
        <v>199</v>
      </c>
      <c r="B32" s="85"/>
      <c r="C32" s="85"/>
      <c r="D32" s="122"/>
      <c r="E32" s="122"/>
      <c r="F32" s="122"/>
      <c r="G32" s="122"/>
      <c r="H32" s="123" t="s">
        <v>311</v>
      </c>
      <c r="I32" s="107"/>
      <c r="J32" s="107"/>
      <c r="K32" s="107"/>
      <c r="L32" s="107"/>
      <c r="M32" s="107"/>
      <c r="N32" s="122"/>
      <c r="O32" s="122"/>
      <c r="P32" s="122"/>
      <c r="Q32" s="122"/>
      <c r="R32" s="122"/>
      <c r="S32" s="85" t="s">
        <v>199</v>
      </c>
    </row>
    <row r="33" spans="1:21">
      <c r="A33" s="87" t="s">
        <v>200</v>
      </c>
      <c r="B33" s="124">
        <v>0</v>
      </c>
      <c r="C33" s="124">
        <v>0</v>
      </c>
      <c r="D33" s="124">
        <v>0</v>
      </c>
      <c r="E33" s="125">
        <v>0</v>
      </c>
      <c r="F33" s="125">
        <v>0</v>
      </c>
      <c r="G33" s="125">
        <v>0</v>
      </c>
      <c r="H33" s="126"/>
      <c r="I33" s="118"/>
      <c r="J33" s="118"/>
      <c r="K33" s="118"/>
      <c r="L33" s="118"/>
      <c r="M33" s="118"/>
      <c r="N33" s="127"/>
      <c r="O33" s="127"/>
      <c r="P33" s="127"/>
      <c r="Q33" s="127"/>
      <c r="R33" s="127"/>
      <c r="S33" s="87" t="s">
        <v>200</v>
      </c>
    </row>
    <row r="34" spans="1:21">
      <c r="A34" s="87" t="s">
        <v>201</v>
      </c>
      <c r="B34" s="128" t="e">
        <f t="shared" ref="B34:G34" si="8">(B16+B21+B25+B26)/B39</f>
        <v>#DIV/0!</v>
      </c>
      <c r="C34" s="128" t="e">
        <f t="shared" si="8"/>
        <v>#DIV/0!</v>
      </c>
      <c r="D34" s="128" t="e">
        <f t="shared" si="8"/>
        <v>#DIV/0!</v>
      </c>
      <c r="E34" s="129" t="e">
        <f t="shared" si="8"/>
        <v>#DIV/0!</v>
      </c>
      <c r="F34" s="129" t="e">
        <f t="shared" si="8"/>
        <v>#DIV/0!</v>
      </c>
      <c r="G34" s="129" t="e">
        <f t="shared" si="8"/>
        <v>#DIV/0!</v>
      </c>
      <c r="H34" s="130"/>
      <c r="I34" s="131" t="s">
        <v>311</v>
      </c>
      <c r="J34" s="131"/>
      <c r="K34" s="131"/>
      <c r="L34" s="131"/>
      <c r="M34" s="131"/>
      <c r="N34" s="132">
        <f>(N16+N21+N25+N26)/N39</f>
        <v>0</v>
      </c>
      <c r="O34" s="132">
        <f>(O16+O21+O25+O26)/O39</f>
        <v>0</v>
      </c>
      <c r="P34" s="132">
        <f>(P16+P21+P25+P26)/P39</f>
        <v>0</v>
      </c>
      <c r="Q34" s="132">
        <f>(Q16+Q21+Q25+Q26)/Q39</f>
        <v>0</v>
      </c>
      <c r="R34" s="132">
        <f>(R16+R21+R25+R26)/R39</f>
        <v>0</v>
      </c>
      <c r="S34" s="87" t="s">
        <v>201</v>
      </c>
    </row>
    <row r="35" spans="1:21">
      <c r="A35" s="87" t="s">
        <v>202</v>
      </c>
      <c r="B35" s="128" t="e">
        <f t="shared" ref="B35:G35" si="9">B27/B39</f>
        <v>#DIV/0!</v>
      </c>
      <c r="C35" s="128" t="e">
        <f t="shared" si="9"/>
        <v>#DIV/0!</v>
      </c>
      <c r="D35" s="128" t="e">
        <f t="shared" si="9"/>
        <v>#DIV/0!</v>
      </c>
      <c r="E35" s="129" t="e">
        <f t="shared" si="9"/>
        <v>#DIV/0!</v>
      </c>
      <c r="F35" s="129" t="e">
        <f t="shared" si="9"/>
        <v>#DIV/0!</v>
      </c>
      <c r="G35" s="129" t="e">
        <f t="shared" si="9"/>
        <v>#DIV/0!</v>
      </c>
      <c r="H35" s="130"/>
      <c r="I35" s="131" t="s">
        <v>311</v>
      </c>
      <c r="J35" s="131"/>
      <c r="K35" s="131"/>
      <c r="L35" s="131"/>
      <c r="M35" s="131"/>
      <c r="N35" s="132">
        <f>N27/N39</f>
        <v>1.6938695290347114</v>
      </c>
      <c r="O35" s="132">
        <f>O27/O39</f>
        <v>4.510311773658537</v>
      </c>
      <c r="P35" s="132">
        <f>P27/P39</f>
        <v>5.8706670866731718</v>
      </c>
      <c r="Q35" s="132">
        <f>Q27/Q39</f>
        <v>6.9832317825123953</v>
      </c>
      <c r="R35" s="132">
        <f>R27/R39</f>
        <v>7.6698827792024398</v>
      </c>
      <c r="S35" s="87" t="s">
        <v>202</v>
      </c>
    </row>
    <row r="36" spans="1:21">
      <c r="A36" s="87" t="s">
        <v>63</v>
      </c>
      <c r="B36" s="124" t="s">
        <v>311</v>
      </c>
      <c r="C36" s="124" t="s">
        <v>311</v>
      </c>
      <c r="D36" s="124" t="s">
        <v>311</v>
      </c>
      <c r="E36" s="125">
        <v>0</v>
      </c>
      <c r="F36" s="125">
        <v>0</v>
      </c>
      <c r="G36" s="125">
        <v>0</v>
      </c>
      <c r="H36" s="126"/>
      <c r="I36" s="131" t="s">
        <v>188</v>
      </c>
      <c r="J36" s="131"/>
      <c r="K36" s="131"/>
      <c r="L36" s="131"/>
      <c r="M36" s="131"/>
      <c r="N36" s="133" t="s">
        <v>311</v>
      </c>
      <c r="O36" s="133" t="s">
        <v>311</v>
      </c>
      <c r="P36" s="133" t="s">
        <v>311</v>
      </c>
      <c r="Q36" s="133" t="s">
        <v>311</v>
      </c>
      <c r="R36" s="133" t="s">
        <v>311</v>
      </c>
      <c r="S36" s="87" t="s">
        <v>63</v>
      </c>
    </row>
    <row r="37" spans="1:21">
      <c r="A37" s="87" t="s">
        <v>64</v>
      </c>
      <c r="B37" s="128" t="e">
        <f t="shared" ref="B37:G37" si="10">-B28/B39</f>
        <v>#DIV/0!</v>
      </c>
      <c r="C37" s="128" t="e">
        <f t="shared" si="10"/>
        <v>#DIV/0!</v>
      </c>
      <c r="D37" s="128" t="e">
        <f t="shared" si="10"/>
        <v>#DIV/0!</v>
      </c>
      <c r="E37" s="129" t="e">
        <f t="shared" si="10"/>
        <v>#DIV/0!</v>
      </c>
      <c r="F37" s="129" t="e">
        <f t="shared" si="10"/>
        <v>#DIV/0!</v>
      </c>
      <c r="G37" s="129" t="e">
        <f t="shared" si="10"/>
        <v>#DIV/0!</v>
      </c>
      <c r="H37" s="130"/>
      <c r="I37" s="126" t="s">
        <v>311</v>
      </c>
      <c r="J37" s="126"/>
      <c r="K37" s="126"/>
      <c r="L37" s="126"/>
      <c r="M37" s="126"/>
      <c r="N37" s="129">
        <f>N228/N39</f>
        <v>0</v>
      </c>
      <c r="O37" s="129">
        <f>O228/O39</f>
        <v>0</v>
      </c>
      <c r="P37" s="129">
        <f>P228/P39</f>
        <v>0</v>
      </c>
      <c r="Q37" s="129">
        <f>Q228/Q39</f>
        <v>0</v>
      </c>
      <c r="R37" s="129">
        <f>R228/R39</f>
        <v>0</v>
      </c>
      <c r="S37" s="87" t="s">
        <v>64</v>
      </c>
    </row>
    <row r="38" spans="1:21">
      <c r="A38" s="87" t="s">
        <v>65</v>
      </c>
      <c r="B38" s="134" t="e">
        <f t="shared" ref="B38:G38" si="11">B33/B35</f>
        <v>#DIV/0!</v>
      </c>
      <c r="C38" s="134" t="e">
        <f t="shared" si="11"/>
        <v>#DIV/0!</v>
      </c>
      <c r="D38" s="134" t="e">
        <f t="shared" si="11"/>
        <v>#DIV/0!</v>
      </c>
      <c r="E38" s="134" t="e">
        <f t="shared" si="11"/>
        <v>#DIV/0!</v>
      </c>
      <c r="F38" s="134" t="e">
        <f t="shared" si="11"/>
        <v>#DIV/0!</v>
      </c>
      <c r="G38" s="134" t="e">
        <f t="shared" si="11"/>
        <v>#DIV/0!</v>
      </c>
      <c r="H38" s="135"/>
      <c r="I38" s="136" t="s">
        <v>311</v>
      </c>
      <c r="J38" s="136"/>
      <c r="K38" s="136"/>
      <c r="L38" s="136"/>
      <c r="M38" s="136"/>
      <c r="N38" s="134">
        <f>N33/N35</f>
        <v>0</v>
      </c>
      <c r="O38" s="134">
        <f>O33/O35</f>
        <v>0</v>
      </c>
      <c r="P38" s="134">
        <f>P33/P35</f>
        <v>0</v>
      </c>
      <c r="Q38" s="134">
        <f>Q33/Q35</f>
        <v>0</v>
      </c>
      <c r="R38" s="134">
        <f>R33/R35</f>
        <v>0</v>
      </c>
      <c r="S38" s="87" t="s">
        <v>65</v>
      </c>
    </row>
    <row r="39" spans="1:21">
      <c r="A39" s="87" t="s">
        <v>66</v>
      </c>
      <c r="B39" s="137">
        <v>0</v>
      </c>
      <c r="C39" s="137">
        <v>0</v>
      </c>
      <c r="D39" s="137">
        <v>0</v>
      </c>
      <c r="E39" s="137">
        <v>0</v>
      </c>
      <c r="F39" s="137">
        <v>0</v>
      </c>
      <c r="G39" s="137">
        <v>0</v>
      </c>
      <c r="H39" s="138"/>
      <c r="I39" s="139">
        <v>150</v>
      </c>
      <c r="J39" s="139">
        <v>150</v>
      </c>
      <c r="K39" s="139">
        <v>150</v>
      </c>
      <c r="L39" s="139">
        <v>150</v>
      </c>
      <c r="M39" s="139">
        <v>150</v>
      </c>
      <c r="N39" s="140">
        <f>I39</f>
        <v>150</v>
      </c>
      <c r="O39" s="140">
        <f>J39</f>
        <v>150</v>
      </c>
      <c r="P39" s="140">
        <f>K39</f>
        <v>150</v>
      </c>
      <c r="Q39" s="140">
        <f>L39</f>
        <v>150</v>
      </c>
      <c r="R39" s="140">
        <f>M39</f>
        <v>150</v>
      </c>
      <c r="S39" s="87" t="s">
        <v>66</v>
      </c>
    </row>
    <row r="40" spans="1:21">
      <c r="A40" s="87"/>
      <c r="B40" s="87"/>
      <c r="C40" s="87"/>
      <c r="D40" s="87" t="s">
        <v>311</v>
      </c>
      <c r="E40" s="87" t="s">
        <v>311</v>
      </c>
      <c r="F40" s="87" t="s">
        <v>311</v>
      </c>
      <c r="G40" s="87" t="s">
        <v>311</v>
      </c>
      <c r="H40" s="141"/>
      <c r="I40" s="118"/>
      <c r="J40" s="118"/>
      <c r="K40" s="118"/>
      <c r="L40" s="118"/>
      <c r="M40" s="118"/>
      <c r="N40" s="87" t="s">
        <v>311</v>
      </c>
      <c r="O40" s="87" t="s">
        <v>311</v>
      </c>
      <c r="P40" s="142" t="s">
        <v>311</v>
      </c>
      <c r="Q40" s="142" t="s">
        <v>311</v>
      </c>
      <c r="R40" s="142" t="s">
        <v>311</v>
      </c>
      <c r="S40" s="87"/>
    </row>
    <row r="41" spans="1:21">
      <c r="A41" s="85" t="s">
        <v>239</v>
      </c>
      <c r="B41" s="85"/>
      <c r="C41" s="85"/>
      <c r="D41" s="91"/>
      <c r="E41" s="91"/>
      <c r="F41" s="91"/>
      <c r="G41" s="91"/>
      <c r="H41" s="143"/>
      <c r="I41" s="99"/>
      <c r="J41" s="99"/>
      <c r="K41" s="99"/>
      <c r="L41" s="99"/>
      <c r="M41" s="99"/>
      <c r="N41" s="91"/>
      <c r="O41" s="91"/>
      <c r="P41" s="144"/>
      <c r="Q41" s="144"/>
      <c r="R41" s="144"/>
      <c r="S41" s="85" t="s">
        <v>239</v>
      </c>
    </row>
    <row r="42" spans="1:21">
      <c r="B42" s="94" t="s">
        <v>67</v>
      </c>
      <c r="C42" s="94"/>
      <c r="D42" s="94"/>
      <c r="E42" s="94"/>
      <c r="F42" s="94"/>
      <c r="G42" s="94"/>
      <c r="H42" s="92" t="s">
        <v>172</v>
      </c>
      <c r="I42" s="93"/>
      <c r="J42" s="93"/>
      <c r="K42" s="93"/>
      <c r="L42" s="93"/>
      <c r="M42" s="93"/>
      <c r="N42" s="94" t="s">
        <v>173</v>
      </c>
      <c r="O42" s="94"/>
      <c r="P42" s="94"/>
      <c r="Q42" s="94"/>
      <c r="R42" s="94"/>
    </row>
    <row r="43" spans="1:21">
      <c r="A43" s="145" t="str">
        <f t="shared" ref="A43:G43" si="12">A5</f>
        <v>PERIOD</v>
      </c>
      <c r="B43" s="96">
        <f t="shared" si="12"/>
        <v>-5</v>
      </c>
      <c r="C43" s="96">
        <f t="shared" si="12"/>
        <v>-4</v>
      </c>
      <c r="D43" s="96">
        <f t="shared" si="12"/>
        <v>-3</v>
      </c>
      <c r="E43" s="96">
        <f t="shared" si="12"/>
        <v>-2</v>
      </c>
      <c r="F43" s="96">
        <f t="shared" si="12"/>
        <v>-1</v>
      </c>
      <c r="G43" s="96">
        <f t="shared" si="12"/>
        <v>0</v>
      </c>
      <c r="H43" s="146"/>
      <c r="I43" s="147">
        <f t="shared" ref="I43:S44" si="13">I5</f>
        <v>0</v>
      </c>
      <c r="J43" s="147">
        <f t="shared" si="13"/>
        <v>1</v>
      </c>
      <c r="K43" s="147">
        <f t="shared" si="13"/>
        <v>2</v>
      </c>
      <c r="L43" s="147">
        <f t="shared" si="13"/>
        <v>3</v>
      </c>
      <c r="M43" s="147">
        <f t="shared" si="13"/>
        <v>4</v>
      </c>
      <c r="N43" s="96">
        <f t="shared" si="13"/>
        <v>0</v>
      </c>
      <c r="O43" s="96">
        <f t="shared" si="13"/>
        <v>1</v>
      </c>
      <c r="P43" s="96">
        <f t="shared" si="13"/>
        <v>2</v>
      </c>
      <c r="Q43" s="96">
        <f t="shared" si="13"/>
        <v>3</v>
      </c>
      <c r="R43" s="96">
        <f t="shared" si="13"/>
        <v>4</v>
      </c>
      <c r="S43" s="145" t="str">
        <f t="shared" si="13"/>
        <v>PERIOD</v>
      </c>
    </row>
    <row r="44" spans="1:21">
      <c r="A44" s="95" t="s">
        <v>68</v>
      </c>
      <c r="B44" s="101">
        <f t="shared" ref="B44:G44" si="14">B6</f>
        <v>1998</v>
      </c>
      <c r="C44" s="101">
        <f t="shared" si="14"/>
        <v>1999</v>
      </c>
      <c r="D44" s="101">
        <f t="shared" si="14"/>
        <v>2000</v>
      </c>
      <c r="E44" s="101">
        <f t="shared" si="14"/>
        <v>2001</v>
      </c>
      <c r="F44" s="101">
        <f t="shared" si="14"/>
        <v>2002</v>
      </c>
      <c r="G44" s="101">
        <f t="shared" si="14"/>
        <v>2003</v>
      </c>
      <c r="H44" s="98"/>
      <c r="I44" s="99">
        <f t="shared" si="13"/>
        <v>2003</v>
      </c>
      <c r="J44" s="99">
        <f t="shared" si="13"/>
        <v>2004</v>
      </c>
      <c r="K44" s="99">
        <f t="shared" si="13"/>
        <v>2005</v>
      </c>
      <c r="L44" s="99">
        <f t="shared" si="13"/>
        <v>2006</v>
      </c>
      <c r="M44" s="99">
        <f t="shared" si="13"/>
        <v>2007</v>
      </c>
      <c r="N44" s="101">
        <f t="shared" si="13"/>
        <v>2003</v>
      </c>
      <c r="O44" s="101">
        <f t="shared" si="13"/>
        <v>2004</v>
      </c>
      <c r="P44" s="101">
        <f t="shared" si="13"/>
        <v>2005</v>
      </c>
      <c r="Q44" s="101">
        <f t="shared" si="13"/>
        <v>2006</v>
      </c>
      <c r="R44" s="101">
        <f t="shared" si="13"/>
        <v>2007</v>
      </c>
      <c r="S44" s="95" t="s">
        <v>68</v>
      </c>
    </row>
    <row r="45" spans="1:21">
      <c r="A45" s="85" t="s">
        <v>57</v>
      </c>
      <c r="B45" s="85"/>
      <c r="C45" s="85"/>
      <c r="D45" s="85" t="s">
        <v>311</v>
      </c>
      <c r="E45" s="85" t="s">
        <v>311</v>
      </c>
      <c r="F45" s="85" t="s">
        <v>311</v>
      </c>
      <c r="G45" s="85" t="s">
        <v>311</v>
      </c>
      <c r="H45" s="104"/>
      <c r="I45" s="105" t="s">
        <v>311</v>
      </c>
      <c r="J45" s="105"/>
      <c r="K45" s="105"/>
      <c r="L45" s="105"/>
      <c r="M45" s="105"/>
      <c r="N45" s="85" t="s">
        <v>311</v>
      </c>
      <c r="O45" s="85" t="s">
        <v>311</v>
      </c>
      <c r="P45" s="85" t="s">
        <v>311</v>
      </c>
      <c r="Q45" s="85" t="s">
        <v>311</v>
      </c>
      <c r="R45" s="85" t="s">
        <v>311</v>
      </c>
      <c r="S45" s="85" t="s">
        <v>57</v>
      </c>
    </row>
    <row r="46" spans="1:21">
      <c r="A46" s="85" t="s">
        <v>69</v>
      </c>
      <c r="B46" s="85"/>
      <c r="C46" s="85"/>
      <c r="D46" s="109"/>
      <c r="E46" s="109"/>
      <c r="F46" s="109"/>
      <c r="G46" s="109"/>
      <c r="H46" s="141"/>
      <c r="I46" s="118"/>
      <c r="J46" s="118"/>
      <c r="K46" s="118"/>
      <c r="L46" s="118"/>
      <c r="M46" s="118"/>
      <c r="N46" s="109"/>
      <c r="O46" s="109"/>
      <c r="P46" s="109"/>
      <c r="Q46" s="109"/>
      <c r="R46" s="109"/>
      <c r="S46" s="85" t="s">
        <v>69</v>
      </c>
    </row>
    <row r="47" spans="1:21">
      <c r="A47" s="87" t="s">
        <v>70</v>
      </c>
      <c r="B47" s="148">
        <v>0</v>
      </c>
      <c r="C47" s="148">
        <v>0</v>
      </c>
      <c r="D47" s="148">
        <v>0</v>
      </c>
      <c r="E47" s="148">
        <v>58</v>
      </c>
      <c r="F47" s="148">
        <v>48</v>
      </c>
      <c r="G47" s="148">
        <v>41</v>
      </c>
      <c r="H47" s="149" t="s">
        <v>71</v>
      </c>
      <c r="I47" s="108">
        <f>F47/F8</f>
        <v>2.3845007451564829E-2</v>
      </c>
      <c r="J47" s="150">
        <f>I47</f>
        <v>2.3845007451564829E-2</v>
      </c>
      <c r="K47" s="150">
        <f>J47</f>
        <v>2.3845007451564829E-2</v>
      </c>
      <c r="L47" s="150">
        <f>K47</f>
        <v>2.3845007451564829E-2</v>
      </c>
      <c r="M47" s="150">
        <f>L47</f>
        <v>2.3845007451564829E-2</v>
      </c>
      <c r="N47" s="109">
        <f>I47*N8</f>
        <v>52.800000000000004</v>
      </c>
      <c r="O47" s="109">
        <f>J47*O8</f>
        <v>59.13600000000001</v>
      </c>
      <c r="P47" s="109">
        <f>K47*P8</f>
        <v>66.23232000000003</v>
      </c>
      <c r="Q47" s="109">
        <f>L47*Q8</f>
        <v>74.180198400000037</v>
      </c>
      <c r="R47" s="109">
        <f>M47*R8</f>
        <v>80.11461427200004</v>
      </c>
      <c r="S47" s="87" t="s">
        <v>70</v>
      </c>
      <c r="U47" t="s">
        <v>72</v>
      </c>
    </row>
    <row r="48" spans="1:21">
      <c r="A48" s="87" t="s">
        <v>137</v>
      </c>
      <c r="B48" s="119">
        <v>0</v>
      </c>
      <c r="C48" s="119">
        <v>0</v>
      </c>
      <c r="D48" s="119">
        <v>0</v>
      </c>
      <c r="E48" s="119">
        <v>0</v>
      </c>
      <c r="F48" s="119">
        <v>0</v>
      </c>
      <c r="G48" s="119">
        <v>0</v>
      </c>
      <c r="H48" s="107" t="s">
        <v>178</v>
      </c>
      <c r="I48" s="151">
        <v>37.200000000000003</v>
      </c>
      <c r="J48" s="151">
        <v>37.200000000000003</v>
      </c>
      <c r="K48" s="151">
        <v>37.200000000000003</v>
      </c>
      <c r="L48" s="151">
        <v>27.2</v>
      </c>
      <c r="M48" s="151">
        <v>27.2</v>
      </c>
      <c r="N48" s="109">
        <f>I48</f>
        <v>37.200000000000003</v>
      </c>
      <c r="O48" s="109">
        <f>J48</f>
        <v>37.200000000000003</v>
      </c>
      <c r="P48" s="109">
        <f>K48</f>
        <v>37.200000000000003</v>
      </c>
      <c r="Q48" s="109">
        <f>L48</f>
        <v>27.2</v>
      </c>
      <c r="R48" s="109">
        <f>M48</f>
        <v>27.2</v>
      </c>
      <c r="S48" s="87" t="s">
        <v>137</v>
      </c>
    </row>
    <row r="49" spans="1:25">
      <c r="A49" s="87" t="s">
        <v>133</v>
      </c>
      <c r="B49" s="119">
        <v>0</v>
      </c>
      <c r="C49" s="119">
        <v>0</v>
      </c>
      <c r="D49" s="119">
        <v>0</v>
      </c>
      <c r="E49" s="119">
        <v>171</v>
      </c>
      <c r="F49" s="119">
        <v>222</v>
      </c>
      <c r="G49" s="119">
        <v>317</v>
      </c>
      <c r="H49" s="107" t="s">
        <v>73</v>
      </c>
      <c r="I49" s="115">
        <v>50</v>
      </c>
      <c r="J49" s="115">
        <v>52</v>
      </c>
      <c r="K49" s="115">
        <v>54</v>
      </c>
      <c r="L49" s="115">
        <v>56</v>
      </c>
      <c r="M49" s="115">
        <v>58</v>
      </c>
      <c r="N49" s="119">
        <f>I49*(N8/365)</f>
        <v>303.32876712328766</v>
      </c>
      <c r="O49" s="119">
        <f>J49*(O8/365)</f>
        <v>353.31734794520554</v>
      </c>
      <c r="P49" s="119">
        <f>K49*(P8/365)</f>
        <v>410.93525391780838</v>
      </c>
      <c r="Q49" s="119">
        <f>L49*(Q8/365)</f>
        <v>477.29368751342491</v>
      </c>
      <c r="R49" s="119">
        <f>M49*(R8/365)</f>
        <v>533.8870818900167</v>
      </c>
      <c r="S49" s="87" t="s">
        <v>133</v>
      </c>
      <c r="T49" s="152">
        <f>F49</f>
        <v>222</v>
      </c>
      <c r="U49" s="152">
        <f t="shared" ref="U49:Y50" si="15">N49</f>
        <v>303.32876712328766</v>
      </c>
      <c r="V49" s="152">
        <f t="shared" si="15"/>
        <v>353.31734794520554</v>
      </c>
      <c r="W49" s="152">
        <f t="shared" si="15"/>
        <v>410.93525391780838</v>
      </c>
      <c r="X49" s="152">
        <f t="shared" si="15"/>
        <v>477.29368751342491</v>
      </c>
      <c r="Y49" s="152">
        <f t="shared" si="15"/>
        <v>533.8870818900167</v>
      </c>
    </row>
    <row r="50" spans="1:25">
      <c r="A50" s="87" t="s">
        <v>74</v>
      </c>
      <c r="B50" s="119">
        <v>0</v>
      </c>
      <c r="C50" s="119">
        <v>0</v>
      </c>
      <c r="D50" s="119">
        <v>0</v>
      </c>
      <c r="E50" s="119">
        <v>239</v>
      </c>
      <c r="F50" s="119">
        <v>326</v>
      </c>
      <c r="G50" s="119">
        <v>418</v>
      </c>
      <c r="H50" s="107" t="s">
        <v>75</v>
      </c>
      <c r="I50" s="153">
        <v>50</v>
      </c>
      <c r="J50" s="153">
        <v>55</v>
      </c>
      <c r="K50" s="153">
        <v>55</v>
      </c>
      <c r="L50" s="153">
        <v>60</v>
      </c>
      <c r="M50" s="153">
        <v>60</v>
      </c>
      <c r="N50" s="109">
        <f>I50*(-N9/365)</f>
        <v>200.19698630136986</v>
      </c>
      <c r="O50" s="109">
        <f>J50*(-O9/365)</f>
        <v>250.37969753424662</v>
      </c>
      <c r="P50" s="109">
        <f>K50*(-P9/365)</f>
        <v>267.86890625753438</v>
      </c>
      <c r="Q50" s="109">
        <f>L50*(-Q9/365)</f>
        <v>322.1732390715618</v>
      </c>
      <c r="R50" s="109">
        <f>M50*(-R9/365)</f>
        <v>347.94709819728678</v>
      </c>
      <c r="S50" s="87" t="s">
        <v>74</v>
      </c>
      <c r="T50" s="152">
        <f>F50</f>
        <v>326</v>
      </c>
      <c r="U50" s="152">
        <f t="shared" si="15"/>
        <v>200.19698630136986</v>
      </c>
      <c r="V50" s="152">
        <f t="shared" si="15"/>
        <v>250.37969753424662</v>
      </c>
      <c r="W50" s="152">
        <f t="shared" si="15"/>
        <v>267.86890625753438</v>
      </c>
      <c r="X50" s="152">
        <f t="shared" si="15"/>
        <v>322.1732390715618</v>
      </c>
      <c r="Y50" s="152">
        <f t="shared" si="15"/>
        <v>347.94709819728678</v>
      </c>
    </row>
    <row r="51" spans="1:25">
      <c r="A51" s="110" t="s">
        <v>198</v>
      </c>
      <c r="B51" s="116">
        <v>0</v>
      </c>
      <c r="C51" s="116">
        <v>0</v>
      </c>
      <c r="D51" s="116">
        <v>0</v>
      </c>
      <c r="E51" s="116">
        <v>0</v>
      </c>
      <c r="F51" s="116">
        <v>0</v>
      </c>
      <c r="G51" s="116">
        <v>0</v>
      </c>
      <c r="H51" s="107"/>
      <c r="I51" s="151">
        <v>0</v>
      </c>
      <c r="J51" s="151">
        <v>0</v>
      </c>
      <c r="K51" s="151">
        <v>0</v>
      </c>
      <c r="L51" s="151">
        <v>0</v>
      </c>
      <c r="M51" s="151">
        <v>0</v>
      </c>
      <c r="N51" s="116">
        <f>I51</f>
        <v>0</v>
      </c>
      <c r="O51" s="116">
        <f>J51</f>
        <v>0</v>
      </c>
      <c r="P51" s="116">
        <f>K51</f>
        <v>0</v>
      </c>
      <c r="Q51" s="116">
        <f>L51</f>
        <v>0</v>
      </c>
      <c r="R51" s="116">
        <f>M51</f>
        <v>0</v>
      </c>
      <c r="S51" s="110" t="s">
        <v>198</v>
      </c>
    </row>
    <row r="52" spans="1:25">
      <c r="A52" s="87" t="s">
        <v>76</v>
      </c>
      <c r="B52" s="109">
        <f t="shared" ref="B52:G52" si="16">SUM(B47:B51)</f>
        <v>0</v>
      </c>
      <c r="C52" s="109">
        <f t="shared" si="16"/>
        <v>0</v>
      </c>
      <c r="D52" s="109">
        <f t="shared" si="16"/>
        <v>0</v>
      </c>
      <c r="E52" s="109">
        <f t="shared" si="16"/>
        <v>468</v>
      </c>
      <c r="F52" s="109">
        <f t="shared" si="16"/>
        <v>596</v>
      </c>
      <c r="G52" s="109">
        <f t="shared" si="16"/>
        <v>776</v>
      </c>
      <c r="H52" s="123"/>
      <c r="I52" s="107" t="s">
        <v>311</v>
      </c>
      <c r="J52" s="107"/>
      <c r="K52" s="107"/>
      <c r="L52" s="107"/>
      <c r="M52" s="107"/>
      <c r="N52" s="109">
        <f>SUM(N47:N51)</f>
        <v>593.52575342465752</v>
      </c>
      <c r="O52" s="109">
        <f>SUM(O47:O51)</f>
        <v>700.0330454794522</v>
      </c>
      <c r="P52" s="109">
        <f>SUM(P47:P51)</f>
        <v>782.23648017534276</v>
      </c>
      <c r="Q52" s="109">
        <f>SUM(Q47:Q51)</f>
        <v>900.84712498498675</v>
      </c>
      <c r="R52" s="109">
        <f>SUM(R47:R51)</f>
        <v>989.14879435930357</v>
      </c>
      <c r="S52" s="87" t="s">
        <v>76</v>
      </c>
    </row>
    <row r="53" spans="1:25">
      <c r="A53" s="85" t="s">
        <v>77</v>
      </c>
      <c r="B53" s="87"/>
      <c r="C53" s="87"/>
      <c r="D53" s="87"/>
      <c r="E53" s="87"/>
      <c r="F53" s="87"/>
      <c r="G53" s="87"/>
      <c r="H53" s="141"/>
      <c r="I53" s="118"/>
      <c r="J53" s="118"/>
      <c r="K53" s="118"/>
      <c r="L53" s="118"/>
      <c r="M53" s="118"/>
      <c r="N53" s="122" t="s">
        <v>311</v>
      </c>
      <c r="O53" s="122" t="s">
        <v>311</v>
      </c>
      <c r="P53" s="122" t="s">
        <v>311</v>
      </c>
      <c r="Q53" s="122" t="s">
        <v>311</v>
      </c>
      <c r="R53" s="122" t="s">
        <v>311</v>
      </c>
      <c r="S53" s="85" t="s">
        <v>77</v>
      </c>
    </row>
    <row r="54" spans="1:25">
      <c r="A54" s="87" t="s">
        <v>78</v>
      </c>
      <c r="B54" s="106">
        <v>0</v>
      </c>
      <c r="C54" s="106">
        <v>0</v>
      </c>
      <c r="D54" s="106">
        <v>0</v>
      </c>
      <c r="E54" s="106">
        <v>126</v>
      </c>
      <c r="F54" s="106">
        <v>140</v>
      </c>
      <c r="G54" s="106">
        <v>157</v>
      </c>
      <c r="H54" s="107" t="s">
        <v>79</v>
      </c>
      <c r="I54" s="115">
        <v>150</v>
      </c>
      <c r="J54" s="115">
        <v>0</v>
      </c>
      <c r="K54" s="115">
        <v>0</v>
      </c>
      <c r="L54" s="115">
        <v>150</v>
      </c>
      <c r="M54" s="115">
        <v>0</v>
      </c>
      <c r="N54" s="119">
        <f>F54+I54</f>
        <v>290</v>
      </c>
      <c r="O54" s="119">
        <f>N54+J54</f>
        <v>290</v>
      </c>
      <c r="P54" s="119">
        <f>O54+K54</f>
        <v>290</v>
      </c>
      <c r="Q54" s="119">
        <f>P54+L54</f>
        <v>440</v>
      </c>
      <c r="R54" s="119">
        <f>Q54+M54</f>
        <v>440</v>
      </c>
      <c r="S54" s="87" t="s">
        <v>78</v>
      </c>
    </row>
    <row r="55" spans="1:25">
      <c r="A55" s="87" t="s">
        <v>80</v>
      </c>
      <c r="B55" s="111">
        <v>0</v>
      </c>
      <c r="C55" s="111">
        <v>0</v>
      </c>
      <c r="D55" s="111">
        <v>0</v>
      </c>
      <c r="E55" s="111">
        <v>0</v>
      </c>
      <c r="F55" s="111">
        <v>0</v>
      </c>
      <c r="G55" s="111">
        <v>0</v>
      </c>
      <c r="H55" s="107" t="s">
        <v>81</v>
      </c>
      <c r="I55" s="154" t="s">
        <v>311</v>
      </c>
      <c r="J55" s="154"/>
      <c r="K55" s="154"/>
      <c r="L55" s="154"/>
      <c r="M55" s="154"/>
      <c r="N55" s="117">
        <f>F55+N14</f>
        <v>0</v>
      </c>
      <c r="O55" s="117">
        <f>N55+O14</f>
        <v>0</v>
      </c>
      <c r="P55" s="117">
        <f>O55+P14</f>
        <v>0</v>
      </c>
      <c r="Q55" s="117">
        <f>P55+Q14</f>
        <v>0</v>
      </c>
      <c r="R55" s="117">
        <f>Q55+R14</f>
        <v>0</v>
      </c>
      <c r="S55" s="87" t="s">
        <v>80</v>
      </c>
    </row>
    <row r="56" spans="1:25">
      <c r="A56" s="87" t="s">
        <v>82</v>
      </c>
      <c r="B56" s="109">
        <f t="shared" ref="B56:G56" si="17">B54+B55</f>
        <v>0</v>
      </c>
      <c r="C56" s="109">
        <f t="shared" si="17"/>
        <v>0</v>
      </c>
      <c r="D56" s="109">
        <f t="shared" si="17"/>
        <v>0</v>
      </c>
      <c r="E56" s="109">
        <f t="shared" si="17"/>
        <v>126</v>
      </c>
      <c r="F56" s="109">
        <f t="shared" si="17"/>
        <v>140</v>
      </c>
      <c r="G56" s="109">
        <f t="shared" si="17"/>
        <v>157</v>
      </c>
      <c r="H56" s="123"/>
      <c r="I56" s="107"/>
      <c r="J56" s="107"/>
      <c r="K56" s="107"/>
      <c r="L56" s="107"/>
      <c r="M56" s="107"/>
      <c r="N56" s="109">
        <f>N54+N55</f>
        <v>290</v>
      </c>
      <c r="O56" s="109">
        <f>O54+O55</f>
        <v>290</v>
      </c>
      <c r="P56" s="109">
        <f>P54+P55</f>
        <v>290</v>
      </c>
      <c r="Q56" s="109">
        <f>Q54+Q55</f>
        <v>440</v>
      </c>
      <c r="R56" s="109">
        <f>R54+R55</f>
        <v>440</v>
      </c>
      <c r="S56" s="87" t="s">
        <v>82</v>
      </c>
    </row>
    <row r="57" spans="1:25">
      <c r="A57" s="87" t="s">
        <v>275</v>
      </c>
      <c r="B57" s="106">
        <v>0</v>
      </c>
      <c r="C57" s="106">
        <v>0</v>
      </c>
      <c r="D57" s="106">
        <v>0</v>
      </c>
      <c r="E57" s="106">
        <v>0</v>
      </c>
      <c r="F57" s="106">
        <v>0</v>
      </c>
      <c r="G57" s="106">
        <v>0</v>
      </c>
      <c r="H57" s="107"/>
      <c r="I57" s="115">
        <v>12</v>
      </c>
      <c r="J57" s="115">
        <v>12</v>
      </c>
      <c r="K57" s="115">
        <v>12</v>
      </c>
      <c r="L57" s="115">
        <v>12</v>
      </c>
      <c r="M57" s="115">
        <v>12</v>
      </c>
      <c r="N57" s="119">
        <f t="shared" ref="N57:R60" si="18">I57</f>
        <v>12</v>
      </c>
      <c r="O57" s="119">
        <f t="shared" si="18"/>
        <v>12</v>
      </c>
      <c r="P57" s="119">
        <f t="shared" si="18"/>
        <v>12</v>
      </c>
      <c r="Q57" s="119">
        <f t="shared" si="18"/>
        <v>12</v>
      </c>
      <c r="R57" s="119">
        <f t="shared" si="18"/>
        <v>12</v>
      </c>
      <c r="S57" s="87" t="s">
        <v>275</v>
      </c>
    </row>
    <row r="58" spans="1:25">
      <c r="A58" s="87" t="s">
        <v>271</v>
      </c>
      <c r="B58" s="106">
        <v>0</v>
      </c>
      <c r="C58" s="106">
        <v>0</v>
      </c>
      <c r="D58" s="106">
        <v>0</v>
      </c>
      <c r="E58" s="106">
        <v>0</v>
      </c>
      <c r="F58" s="106">
        <v>0</v>
      </c>
      <c r="G58" s="106">
        <v>0</v>
      </c>
      <c r="H58" s="107"/>
      <c r="I58" s="115">
        <v>0.6</v>
      </c>
      <c r="J58" s="115">
        <v>0.6</v>
      </c>
      <c r="K58" s="115">
        <v>0.5</v>
      </c>
      <c r="L58" s="115">
        <v>0.5</v>
      </c>
      <c r="M58" s="115">
        <v>0.4</v>
      </c>
      <c r="N58" s="119">
        <f t="shared" si="18"/>
        <v>0.6</v>
      </c>
      <c r="O58" s="119">
        <f t="shared" si="18"/>
        <v>0.6</v>
      </c>
      <c r="P58" s="119">
        <f t="shared" si="18"/>
        <v>0.5</v>
      </c>
      <c r="Q58" s="119">
        <f t="shared" si="18"/>
        <v>0.5</v>
      </c>
      <c r="R58" s="119">
        <f t="shared" si="18"/>
        <v>0.4</v>
      </c>
      <c r="S58" s="87" t="s">
        <v>271</v>
      </c>
    </row>
    <row r="59" spans="1:25">
      <c r="A59" s="87" t="s">
        <v>83</v>
      </c>
      <c r="B59" s="106">
        <v>0</v>
      </c>
      <c r="C59" s="106">
        <v>0</v>
      </c>
      <c r="D59" s="106">
        <v>0</v>
      </c>
      <c r="E59" s="106">
        <v>0</v>
      </c>
      <c r="F59" s="106">
        <v>0</v>
      </c>
      <c r="G59" s="106">
        <v>0</v>
      </c>
      <c r="H59" s="107"/>
      <c r="I59" s="120">
        <v>0</v>
      </c>
      <c r="J59" s="120">
        <v>0</v>
      </c>
      <c r="K59" s="120">
        <v>0</v>
      </c>
      <c r="L59" s="120">
        <v>0</v>
      </c>
      <c r="M59" s="120">
        <v>0</v>
      </c>
      <c r="N59" s="119">
        <f t="shared" si="18"/>
        <v>0</v>
      </c>
      <c r="O59" s="119">
        <f t="shared" si="18"/>
        <v>0</v>
      </c>
      <c r="P59" s="119">
        <f t="shared" si="18"/>
        <v>0</v>
      </c>
      <c r="Q59" s="119">
        <f t="shared" si="18"/>
        <v>0</v>
      </c>
      <c r="R59" s="119">
        <f t="shared" si="18"/>
        <v>0</v>
      </c>
      <c r="S59" s="87" t="s">
        <v>83</v>
      </c>
    </row>
    <row r="60" spans="1:25">
      <c r="A60" s="110" t="s">
        <v>84</v>
      </c>
      <c r="B60" s="111">
        <v>0</v>
      </c>
      <c r="C60" s="111">
        <v>0</v>
      </c>
      <c r="D60" s="111">
        <v>0</v>
      </c>
      <c r="E60" s="111">
        <v>0</v>
      </c>
      <c r="F60" s="111">
        <v>0</v>
      </c>
      <c r="G60" s="111">
        <v>0</v>
      </c>
      <c r="H60" s="107"/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19">
        <f t="shared" si="18"/>
        <v>0</v>
      </c>
      <c r="O60" s="119">
        <f t="shared" si="18"/>
        <v>0</v>
      </c>
      <c r="P60" s="119">
        <f t="shared" si="18"/>
        <v>0</v>
      </c>
      <c r="Q60" s="119">
        <f t="shared" si="18"/>
        <v>0</v>
      </c>
      <c r="R60" s="119">
        <f t="shared" si="18"/>
        <v>0</v>
      </c>
      <c r="S60" s="110" t="s">
        <v>84</v>
      </c>
    </row>
    <row r="61" spans="1:25">
      <c r="A61" s="155" t="s">
        <v>85</v>
      </c>
      <c r="B61" s="156">
        <f t="shared" ref="B61:G61" si="19">SUM(B56:B60)</f>
        <v>0</v>
      </c>
      <c r="C61" s="156">
        <f t="shared" si="19"/>
        <v>0</v>
      </c>
      <c r="D61" s="156">
        <f t="shared" si="19"/>
        <v>0</v>
      </c>
      <c r="E61" s="156">
        <f t="shared" si="19"/>
        <v>126</v>
      </c>
      <c r="F61" s="156">
        <f t="shared" si="19"/>
        <v>140</v>
      </c>
      <c r="G61" s="156">
        <f t="shared" si="19"/>
        <v>157</v>
      </c>
      <c r="H61" s="123"/>
      <c r="I61" s="107" t="s">
        <v>311</v>
      </c>
      <c r="J61" s="107" t="s">
        <v>311</v>
      </c>
      <c r="K61" s="107" t="s">
        <v>311</v>
      </c>
      <c r="L61" s="107" t="s">
        <v>311</v>
      </c>
      <c r="M61" s="107" t="s">
        <v>311</v>
      </c>
      <c r="N61" s="156">
        <f>SUM(N56:N60)</f>
        <v>302.60000000000002</v>
      </c>
      <c r="O61" s="156">
        <f>SUM(O56:O60)</f>
        <v>302.60000000000002</v>
      </c>
      <c r="P61" s="156">
        <f>SUM(P56:P60)</f>
        <v>302.5</v>
      </c>
      <c r="Q61" s="156">
        <f>SUM(Q56:Q60)</f>
        <v>452.5</v>
      </c>
      <c r="R61" s="156">
        <f>SUM(R56:R60)</f>
        <v>452.4</v>
      </c>
      <c r="S61" s="155" t="s">
        <v>85</v>
      </c>
    </row>
    <row r="62" spans="1:25">
      <c r="A62" s="87" t="s">
        <v>86</v>
      </c>
      <c r="B62" s="109">
        <f t="shared" ref="B62:G62" si="20">B52+B61</f>
        <v>0</v>
      </c>
      <c r="C62" s="109">
        <f t="shared" si="20"/>
        <v>0</v>
      </c>
      <c r="D62" s="109">
        <f t="shared" si="20"/>
        <v>0</v>
      </c>
      <c r="E62" s="109">
        <f t="shared" si="20"/>
        <v>594</v>
      </c>
      <c r="F62" s="109">
        <f t="shared" si="20"/>
        <v>736</v>
      </c>
      <c r="G62" s="109">
        <f t="shared" si="20"/>
        <v>933</v>
      </c>
      <c r="H62" s="123"/>
      <c r="I62" s="107" t="s">
        <v>311</v>
      </c>
      <c r="J62" s="107"/>
      <c r="K62" s="107"/>
      <c r="L62" s="107"/>
      <c r="M62" s="107"/>
      <c r="N62" s="109">
        <f>N52+N61</f>
        <v>896.12575342465755</v>
      </c>
      <c r="O62" s="109">
        <f>O52+O61</f>
        <v>1002.6330454794522</v>
      </c>
      <c r="P62" s="109">
        <f>P52+P61</f>
        <v>1084.7364801753429</v>
      </c>
      <c r="Q62" s="109">
        <f>Q52+Q61</f>
        <v>1353.3471249849867</v>
      </c>
      <c r="R62" s="109">
        <f>R52+R61</f>
        <v>1441.5487943593034</v>
      </c>
      <c r="S62" s="87" t="s">
        <v>86</v>
      </c>
    </row>
    <row r="64" spans="1:25">
      <c r="A64" s="85" t="s">
        <v>147</v>
      </c>
      <c r="B64" s="85"/>
      <c r="C64" s="85"/>
      <c r="D64" s="109" t="s">
        <v>311</v>
      </c>
      <c r="E64" s="109" t="s">
        <v>311</v>
      </c>
      <c r="F64" s="109" t="s">
        <v>311</v>
      </c>
      <c r="G64" s="109" t="s">
        <v>311</v>
      </c>
      <c r="H64" s="141"/>
      <c r="I64" s="118"/>
      <c r="J64" s="118"/>
      <c r="K64" s="118"/>
      <c r="L64" s="118"/>
      <c r="M64" s="118"/>
      <c r="N64" s="109" t="s">
        <v>311</v>
      </c>
      <c r="O64" s="109" t="s">
        <v>311</v>
      </c>
      <c r="P64" s="109" t="s">
        <v>311</v>
      </c>
      <c r="Q64" s="109" t="s">
        <v>311</v>
      </c>
      <c r="R64" s="109" t="s">
        <v>311</v>
      </c>
      <c r="S64" s="85" t="s">
        <v>147</v>
      </c>
    </row>
    <row r="65" spans="1:25">
      <c r="A65" s="85" t="s">
        <v>87</v>
      </c>
      <c r="B65" s="85"/>
      <c r="C65" s="85"/>
      <c r="D65" s="109"/>
      <c r="E65" s="109"/>
      <c r="F65" s="109"/>
      <c r="G65" s="109"/>
      <c r="H65" s="141"/>
      <c r="I65" s="118"/>
      <c r="J65" s="118"/>
      <c r="K65" s="118"/>
      <c r="L65" s="118"/>
      <c r="M65" s="118"/>
      <c r="N65" s="109"/>
      <c r="O65" s="109"/>
      <c r="P65" s="109"/>
      <c r="Q65" s="109"/>
      <c r="R65" s="109"/>
      <c r="S65" s="85" t="s">
        <v>87</v>
      </c>
    </row>
    <row r="66" spans="1:25">
      <c r="A66" s="87" t="s">
        <v>88</v>
      </c>
      <c r="B66" s="106">
        <v>0</v>
      </c>
      <c r="C66" s="106">
        <v>0</v>
      </c>
      <c r="D66" s="106">
        <v>0</v>
      </c>
      <c r="E66" s="106">
        <v>124</v>
      </c>
      <c r="F66" s="106">
        <v>192</v>
      </c>
      <c r="G66" s="106">
        <v>256</v>
      </c>
      <c r="H66" s="107" t="s">
        <v>75</v>
      </c>
      <c r="I66" s="151">
        <v>50</v>
      </c>
      <c r="J66" s="151">
        <v>55</v>
      </c>
      <c r="K66" s="151">
        <v>60</v>
      </c>
      <c r="L66" s="151">
        <v>60</v>
      </c>
      <c r="M66" s="151">
        <v>60</v>
      </c>
      <c r="N66" s="109">
        <f>(-N9/365)*I66</f>
        <v>200.19698630136986</v>
      </c>
      <c r="O66" s="109">
        <f>(-O9/365)*J66</f>
        <v>250.37969753424662</v>
      </c>
      <c r="P66" s="109">
        <f>(-P9/365)*K66</f>
        <v>292.22062500821932</v>
      </c>
      <c r="Q66" s="109">
        <f>(-Q9/365)*L66</f>
        <v>322.1732390715618</v>
      </c>
      <c r="R66" s="109">
        <f>(-R9/365)*M66</f>
        <v>347.94709819728678</v>
      </c>
      <c r="S66" s="87" t="s">
        <v>88</v>
      </c>
      <c r="T66" s="152">
        <f>F66</f>
        <v>192</v>
      </c>
      <c r="U66" s="152">
        <f>N66</f>
        <v>200.19698630136986</v>
      </c>
      <c r="V66" s="152">
        <f>O66</f>
        <v>250.37969753424662</v>
      </c>
      <c r="W66" s="152">
        <f>P66</f>
        <v>292.22062500821932</v>
      </c>
      <c r="X66" s="152">
        <f>Q66</f>
        <v>322.1732390715618</v>
      </c>
      <c r="Y66" s="152">
        <f>R66</f>
        <v>347.94709819728678</v>
      </c>
    </row>
    <row r="67" spans="1:25">
      <c r="A67" s="87" t="s">
        <v>274</v>
      </c>
      <c r="B67" s="106">
        <v>0</v>
      </c>
      <c r="C67" s="106">
        <v>0</v>
      </c>
      <c r="D67" s="106">
        <v>0</v>
      </c>
      <c r="E67" s="106">
        <v>0</v>
      </c>
      <c r="F67" s="106">
        <v>0</v>
      </c>
      <c r="G67" s="106">
        <v>0</v>
      </c>
      <c r="H67" s="107" t="s">
        <v>178</v>
      </c>
      <c r="I67" s="115">
        <v>4</v>
      </c>
      <c r="J67" s="115">
        <v>4</v>
      </c>
      <c r="K67" s="115">
        <v>4</v>
      </c>
      <c r="L67" s="115">
        <v>4</v>
      </c>
      <c r="M67" s="115">
        <v>4</v>
      </c>
      <c r="N67" s="119">
        <f>I67</f>
        <v>4</v>
      </c>
      <c r="O67" s="119">
        <f>J67</f>
        <v>4</v>
      </c>
      <c r="P67" s="119">
        <f>K67</f>
        <v>4</v>
      </c>
      <c r="Q67" s="119">
        <f>L67</f>
        <v>4</v>
      </c>
      <c r="R67" s="119">
        <f>M67</f>
        <v>4</v>
      </c>
      <c r="S67" s="87" t="s">
        <v>274</v>
      </c>
    </row>
    <row r="68" spans="1:25">
      <c r="A68" s="87" t="s">
        <v>132</v>
      </c>
      <c r="B68" s="106">
        <v>0</v>
      </c>
      <c r="C68" s="106">
        <v>0</v>
      </c>
      <c r="D68" s="106">
        <v>0</v>
      </c>
      <c r="E68" s="106">
        <v>0</v>
      </c>
      <c r="F68" s="106">
        <v>0</v>
      </c>
      <c r="G68" s="106">
        <v>0</v>
      </c>
      <c r="H68" s="107" t="s">
        <v>89</v>
      </c>
      <c r="I68" s="108">
        <v>0.4</v>
      </c>
      <c r="J68" s="108">
        <v>0.4</v>
      </c>
      <c r="K68" s="108">
        <v>0.4</v>
      </c>
      <c r="L68" s="108">
        <v>0.4</v>
      </c>
      <c r="M68" s="108">
        <v>0.4</v>
      </c>
      <c r="N68" s="119">
        <f>I68*-N23</f>
        <v>-14.821358379053727</v>
      </c>
      <c r="O68" s="119">
        <f>J68*-O23</f>
        <v>-39.46522801951221</v>
      </c>
      <c r="P68" s="119">
        <f>K68*-P23</f>
        <v>-51.368337008390256</v>
      </c>
      <c r="Q68" s="119">
        <f>L68*-Q23</f>
        <v>-61.103278096983459</v>
      </c>
      <c r="R68" s="119">
        <f>M68*-R23</f>
        <v>-67.111474318021351</v>
      </c>
      <c r="S68" s="87" t="s">
        <v>132</v>
      </c>
      <c r="T68" s="152">
        <f t="shared" ref="T68:Y68" si="21">T49+T50-T66</f>
        <v>356</v>
      </c>
      <c r="U68" s="152">
        <f t="shared" si="21"/>
        <v>303.32876712328766</v>
      </c>
      <c r="V68" s="152">
        <f t="shared" si="21"/>
        <v>353.3173479452056</v>
      </c>
      <c r="W68" s="152">
        <f t="shared" si="21"/>
        <v>386.58353516712344</v>
      </c>
      <c r="X68" s="152">
        <f t="shared" si="21"/>
        <v>477.29368751342491</v>
      </c>
      <c r="Y68" s="152">
        <f t="shared" si="21"/>
        <v>533.8870818900167</v>
      </c>
    </row>
    <row r="69" spans="1:25">
      <c r="A69" s="87" t="s">
        <v>90</v>
      </c>
      <c r="B69" s="106">
        <v>0</v>
      </c>
      <c r="C69" s="106">
        <v>0</v>
      </c>
      <c r="D69" s="106">
        <v>0</v>
      </c>
      <c r="E69" s="157">
        <v>0</v>
      </c>
      <c r="F69" s="157">
        <v>0</v>
      </c>
      <c r="G69" s="157">
        <v>0</v>
      </c>
      <c r="H69" s="107"/>
      <c r="I69" s="115">
        <v>1.5</v>
      </c>
      <c r="J69" s="115">
        <v>1.5</v>
      </c>
      <c r="K69" s="115">
        <v>1.5</v>
      </c>
      <c r="L69" s="115">
        <v>1.5</v>
      </c>
      <c r="M69" s="115">
        <v>1.5</v>
      </c>
      <c r="N69" s="119">
        <f t="shared" ref="N69:R71" si="22">I69</f>
        <v>1.5</v>
      </c>
      <c r="O69" s="119">
        <f t="shared" si="22"/>
        <v>1.5</v>
      </c>
      <c r="P69" s="119">
        <f t="shared" si="22"/>
        <v>1.5</v>
      </c>
      <c r="Q69" s="119">
        <f t="shared" si="22"/>
        <v>1.5</v>
      </c>
      <c r="R69" s="119">
        <f t="shared" si="22"/>
        <v>1.5</v>
      </c>
      <c r="S69" s="87" t="s">
        <v>90</v>
      </c>
    </row>
    <row r="70" spans="1:25">
      <c r="A70" s="87" t="s">
        <v>91</v>
      </c>
      <c r="B70" s="157">
        <v>0</v>
      </c>
      <c r="C70" s="157">
        <v>0</v>
      </c>
      <c r="D70" s="157">
        <v>0</v>
      </c>
      <c r="E70" s="158">
        <v>112</v>
      </c>
      <c r="F70" s="158">
        <v>153</v>
      </c>
      <c r="G70" s="158">
        <v>240</v>
      </c>
      <c r="H70" s="107"/>
      <c r="I70" s="115">
        <v>112</v>
      </c>
      <c r="J70" s="115">
        <v>112</v>
      </c>
      <c r="K70" s="115">
        <v>112</v>
      </c>
      <c r="L70" s="115">
        <v>112</v>
      </c>
      <c r="M70" s="115">
        <v>112</v>
      </c>
      <c r="N70" s="119">
        <f t="shared" si="22"/>
        <v>112</v>
      </c>
      <c r="O70" s="119">
        <f t="shared" si="22"/>
        <v>112</v>
      </c>
      <c r="P70" s="119">
        <f t="shared" si="22"/>
        <v>112</v>
      </c>
      <c r="Q70" s="119">
        <f t="shared" si="22"/>
        <v>112</v>
      </c>
      <c r="R70" s="119">
        <f t="shared" si="22"/>
        <v>112</v>
      </c>
      <c r="S70" s="87" t="s">
        <v>91</v>
      </c>
    </row>
    <row r="71" spans="1:25">
      <c r="A71" s="110" t="s">
        <v>198</v>
      </c>
      <c r="B71" s="111">
        <v>0</v>
      </c>
      <c r="C71" s="111">
        <v>0</v>
      </c>
      <c r="D71" s="111">
        <v>0</v>
      </c>
      <c r="E71" s="111">
        <v>24</v>
      </c>
      <c r="F71" s="111">
        <v>30</v>
      </c>
      <c r="G71" s="111">
        <v>39</v>
      </c>
      <c r="H71" s="107"/>
      <c r="I71" s="115">
        <v>8.6</v>
      </c>
      <c r="J71" s="115">
        <v>8.6</v>
      </c>
      <c r="K71" s="115">
        <v>8.6</v>
      </c>
      <c r="L71" s="115">
        <v>8.6</v>
      </c>
      <c r="M71" s="115">
        <v>8.6</v>
      </c>
      <c r="N71" s="119">
        <f t="shared" si="22"/>
        <v>8.6</v>
      </c>
      <c r="O71" s="119">
        <f t="shared" si="22"/>
        <v>8.6</v>
      </c>
      <c r="P71" s="119">
        <f t="shared" si="22"/>
        <v>8.6</v>
      </c>
      <c r="Q71" s="119">
        <f t="shared" si="22"/>
        <v>8.6</v>
      </c>
      <c r="R71" s="119">
        <f t="shared" si="22"/>
        <v>8.6</v>
      </c>
      <c r="S71" s="110" t="s">
        <v>198</v>
      </c>
    </row>
    <row r="72" spans="1:25">
      <c r="A72" s="87" t="s">
        <v>229</v>
      </c>
      <c r="B72" s="109">
        <f t="shared" ref="B72:G72" si="23">SUM(B66:B71)</f>
        <v>0</v>
      </c>
      <c r="C72" s="109">
        <f t="shared" si="23"/>
        <v>0</v>
      </c>
      <c r="D72" s="109">
        <f t="shared" si="23"/>
        <v>0</v>
      </c>
      <c r="E72" s="109">
        <f t="shared" si="23"/>
        <v>260</v>
      </c>
      <c r="F72" s="109">
        <f t="shared" si="23"/>
        <v>375</v>
      </c>
      <c r="G72" s="109">
        <f t="shared" si="23"/>
        <v>535</v>
      </c>
      <c r="H72" s="123"/>
      <c r="I72" s="118" t="s">
        <v>311</v>
      </c>
      <c r="J72" s="118"/>
      <c r="K72" s="118"/>
      <c r="L72" s="118"/>
      <c r="M72" s="118"/>
      <c r="N72" s="109">
        <f>SUM(N66:N71)</f>
        <v>311.47562792231616</v>
      </c>
      <c r="O72" s="109">
        <f>SUM(O66:O71)</f>
        <v>337.0144695147344</v>
      </c>
      <c r="P72" s="109">
        <f>SUM(P66:P71)</f>
        <v>366.95228799982908</v>
      </c>
      <c r="Q72" s="109">
        <f>SUM(Q66:Q71)</f>
        <v>387.16996097457837</v>
      </c>
      <c r="R72" s="109">
        <f>SUM(R66:R71)</f>
        <v>406.93562387926545</v>
      </c>
      <c r="S72" s="87" t="s">
        <v>229</v>
      </c>
    </row>
    <row r="73" spans="1:25">
      <c r="A73" s="85" t="s">
        <v>92</v>
      </c>
      <c r="B73" s="109"/>
      <c r="C73" s="109"/>
      <c r="D73" s="109"/>
      <c r="E73" s="109"/>
      <c r="F73" s="109"/>
      <c r="G73" s="109"/>
      <c r="H73" s="141"/>
      <c r="I73" s="118"/>
      <c r="J73" s="118"/>
      <c r="K73" s="118"/>
      <c r="L73" s="118"/>
      <c r="M73" s="118"/>
      <c r="N73" s="109"/>
      <c r="O73" s="109"/>
      <c r="P73" s="109"/>
      <c r="Q73" s="109"/>
      <c r="R73" s="109"/>
      <c r="S73" s="85" t="s">
        <v>92</v>
      </c>
    </row>
    <row r="74" spans="1:25">
      <c r="A74" s="87" t="s">
        <v>274</v>
      </c>
      <c r="B74" s="106">
        <v>0</v>
      </c>
      <c r="C74" s="106">
        <v>0</v>
      </c>
      <c r="D74" s="106">
        <v>0</v>
      </c>
      <c r="E74" s="106">
        <v>0</v>
      </c>
      <c r="F74" s="106">
        <v>0</v>
      </c>
      <c r="G74" s="106">
        <v>0</v>
      </c>
      <c r="H74" s="107" t="s">
        <v>178</v>
      </c>
      <c r="I74" s="115">
        <v>30.2</v>
      </c>
      <c r="J74" s="115">
        <v>30.2</v>
      </c>
      <c r="K74" s="115">
        <v>30.2</v>
      </c>
      <c r="L74" s="115">
        <v>30.2</v>
      </c>
      <c r="M74" s="115">
        <v>30.2</v>
      </c>
      <c r="N74" s="119">
        <f t="shared" ref="N74:R78" si="24">I74</f>
        <v>30.2</v>
      </c>
      <c r="O74" s="119">
        <f t="shared" si="24"/>
        <v>30.2</v>
      </c>
      <c r="P74" s="119">
        <f t="shared" si="24"/>
        <v>30.2</v>
      </c>
      <c r="Q74" s="119">
        <f t="shared" si="24"/>
        <v>30.2</v>
      </c>
      <c r="R74" s="119">
        <f t="shared" si="24"/>
        <v>30.2</v>
      </c>
      <c r="S74" s="87" t="s">
        <v>274</v>
      </c>
    </row>
    <row r="75" spans="1:25">
      <c r="A75" s="87" t="s">
        <v>270</v>
      </c>
      <c r="B75" s="106">
        <v>0</v>
      </c>
      <c r="C75" s="106">
        <v>0</v>
      </c>
      <c r="D75" s="106">
        <v>0</v>
      </c>
      <c r="E75" s="106">
        <v>0</v>
      </c>
      <c r="F75" s="106">
        <v>0</v>
      </c>
      <c r="G75" s="106">
        <v>0</v>
      </c>
      <c r="H75" s="107" t="s">
        <v>178</v>
      </c>
      <c r="I75" s="115">
        <v>15.4</v>
      </c>
      <c r="J75" s="115">
        <v>15.4</v>
      </c>
      <c r="K75" s="115">
        <v>15.4</v>
      </c>
      <c r="L75" s="115">
        <v>15.4</v>
      </c>
      <c r="M75" s="115">
        <v>15.4</v>
      </c>
      <c r="N75" s="119">
        <f t="shared" si="24"/>
        <v>15.4</v>
      </c>
      <c r="O75" s="119">
        <f t="shared" si="24"/>
        <v>15.4</v>
      </c>
      <c r="P75" s="119">
        <f t="shared" si="24"/>
        <v>15.4</v>
      </c>
      <c r="Q75" s="119">
        <f t="shared" si="24"/>
        <v>15.4</v>
      </c>
      <c r="R75" s="119">
        <f t="shared" si="24"/>
        <v>15.4</v>
      </c>
      <c r="S75" s="87" t="s">
        <v>270</v>
      </c>
    </row>
    <row r="76" spans="1:25">
      <c r="A76" s="87" t="s">
        <v>93</v>
      </c>
      <c r="B76" s="106">
        <v>0</v>
      </c>
      <c r="C76" s="106">
        <v>0</v>
      </c>
      <c r="D76" s="106">
        <v>0</v>
      </c>
      <c r="E76" s="106">
        <v>0</v>
      </c>
      <c r="F76" s="106">
        <v>0</v>
      </c>
      <c r="G76" s="106">
        <v>0</v>
      </c>
      <c r="H76" s="107"/>
      <c r="I76" s="115">
        <v>1</v>
      </c>
      <c r="J76" s="115">
        <v>1</v>
      </c>
      <c r="K76" s="115">
        <v>1</v>
      </c>
      <c r="L76" s="115">
        <v>1</v>
      </c>
      <c r="M76" s="115">
        <v>1</v>
      </c>
      <c r="N76" s="119">
        <f t="shared" si="24"/>
        <v>1</v>
      </c>
      <c r="O76" s="119">
        <f t="shared" si="24"/>
        <v>1</v>
      </c>
      <c r="P76" s="119">
        <f t="shared" si="24"/>
        <v>1</v>
      </c>
      <c r="Q76" s="119">
        <f t="shared" si="24"/>
        <v>1</v>
      </c>
      <c r="R76" s="119">
        <f t="shared" si="24"/>
        <v>1</v>
      </c>
      <c r="S76" s="87" t="s">
        <v>93</v>
      </c>
    </row>
    <row r="77" spans="1:25">
      <c r="A77" s="87" t="s">
        <v>94</v>
      </c>
      <c r="B77" s="157">
        <v>0</v>
      </c>
      <c r="C77" s="157">
        <v>0</v>
      </c>
      <c r="D77" s="157">
        <v>0</v>
      </c>
      <c r="E77" s="157">
        <v>64</v>
      </c>
      <c r="F77" s="157">
        <v>57</v>
      </c>
      <c r="G77" s="157">
        <v>50</v>
      </c>
      <c r="H77" s="107"/>
      <c r="I77" s="115">
        <v>413</v>
      </c>
      <c r="J77" s="115">
        <v>413</v>
      </c>
      <c r="K77" s="115">
        <v>413</v>
      </c>
      <c r="L77" s="115">
        <v>413</v>
      </c>
      <c r="M77" s="115">
        <v>413</v>
      </c>
      <c r="N77" s="119">
        <f t="shared" si="24"/>
        <v>413</v>
      </c>
      <c r="O77" s="119">
        <f t="shared" si="24"/>
        <v>413</v>
      </c>
      <c r="P77" s="119">
        <f t="shared" si="24"/>
        <v>413</v>
      </c>
      <c r="Q77" s="119">
        <f t="shared" si="24"/>
        <v>413</v>
      </c>
      <c r="R77" s="119">
        <f t="shared" si="24"/>
        <v>413</v>
      </c>
      <c r="S77" s="87" t="s">
        <v>94</v>
      </c>
    </row>
    <row r="78" spans="1:25">
      <c r="A78" s="110" t="s">
        <v>198</v>
      </c>
      <c r="B78" s="111">
        <v>0</v>
      </c>
      <c r="C78" s="111">
        <v>0</v>
      </c>
      <c r="D78" s="111">
        <v>0</v>
      </c>
      <c r="E78" s="111">
        <v>0</v>
      </c>
      <c r="F78" s="111">
        <v>0</v>
      </c>
      <c r="G78" s="111">
        <v>0</v>
      </c>
      <c r="H78" s="107" t="s">
        <v>178</v>
      </c>
      <c r="I78" s="115">
        <v>0</v>
      </c>
      <c r="J78" s="115">
        <v>0</v>
      </c>
      <c r="K78" s="115">
        <v>0</v>
      </c>
      <c r="L78" s="115">
        <v>0</v>
      </c>
      <c r="M78" s="115">
        <v>0</v>
      </c>
      <c r="N78" s="119">
        <f t="shared" si="24"/>
        <v>0</v>
      </c>
      <c r="O78" s="119">
        <f t="shared" si="24"/>
        <v>0</v>
      </c>
      <c r="P78" s="119">
        <f t="shared" si="24"/>
        <v>0</v>
      </c>
      <c r="Q78" s="119">
        <f t="shared" si="24"/>
        <v>0</v>
      </c>
      <c r="R78" s="119">
        <f t="shared" si="24"/>
        <v>0</v>
      </c>
      <c r="S78" s="110" t="s">
        <v>198</v>
      </c>
    </row>
    <row r="79" spans="1:25">
      <c r="A79" s="155" t="s">
        <v>95</v>
      </c>
      <c r="B79" s="156">
        <f t="shared" ref="B79:G79" si="25">SUM(B74:B78)</f>
        <v>0</v>
      </c>
      <c r="C79" s="156">
        <f t="shared" si="25"/>
        <v>0</v>
      </c>
      <c r="D79" s="156">
        <f t="shared" si="25"/>
        <v>0</v>
      </c>
      <c r="E79" s="156">
        <f t="shared" si="25"/>
        <v>64</v>
      </c>
      <c r="F79" s="156">
        <f t="shared" si="25"/>
        <v>57</v>
      </c>
      <c r="G79" s="156">
        <f t="shared" si="25"/>
        <v>50</v>
      </c>
      <c r="H79" s="123"/>
      <c r="I79" s="118"/>
      <c r="J79" s="118"/>
      <c r="K79" s="118"/>
      <c r="L79" s="118"/>
      <c r="M79" s="118"/>
      <c r="N79" s="156">
        <f>SUM(N74:N78)</f>
        <v>459.6</v>
      </c>
      <c r="O79" s="156">
        <f>SUM(O74:O78)</f>
        <v>459.6</v>
      </c>
      <c r="P79" s="156">
        <f>SUM(P74:P78)</f>
        <v>459.6</v>
      </c>
      <c r="Q79" s="156">
        <f>SUM(Q74:Q78)</f>
        <v>459.6</v>
      </c>
      <c r="R79" s="156">
        <f>SUM(R74:R78)</f>
        <v>459.6</v>
      </c>
      <c r="S79" s="155" t="s">
        <v>95</v>
      </c>
    </row>
    <row r="80" spans="1:25">
      <c r="A80" s="110" t="s">
        <v>227</v>
      </c>
      <c r="B80" s="117">
        <f t="shared" ref="B80:G80" si="26">B72+B79</f>
        <v>0</v>
      </c>
      <c r="C80" s="117">
        <f t="shared" si="26"/>
        <v>0</v>
      </c>
      <c r="D80" s="117">
        <f t="shared" si="26"/>
        <v>0</v>
      </c>
      <c r="E80" s="117">
        <f t="shared" si="26"/>
        <v>324</v>
      </c>
      <c r="F80" s="117">
        <f t="shared" si="26"/>
        <v>432</v>
      </c>
      <c r="G80" s="117">
        <f t="shared" si="26"/>
        <v>585</v>
      </c>
      <c r="H80" s="123"/>
      <c r="I80" s="118" t="s">
        <v>311</v>
      </c>
      <c r="J80" s="118"/>
      <c r="K80" s="118"/>
      <c r="L80" s="118"/>
      <c r="M80" s="118"/>
      <c r="N80" s="117">
        <f>N72+N79</f>
        <v>771.07562792231624</v>
      </c>
      <c r="O80" s="117">
        <f>O72+O79</f>
        <v>796.61446951473442</v>
      </c>
      <c r="P80" s="117">
        <f>P72+P79</f>
        <v>826.5522879998291</v>
      </c>
      <c r="Q80" s="117">
        <f>Q72+Q79</f>
        <v>846.76996097457845</v>
      </c>
      <c r="R80" s="117">
        <f>R72+R79</f>
        <v>866.53562387926547</v>
      </c>
      <c r="S80" s="110" t="s">
        <v>227</v>
      </c>
    </row>
    <row r="81" spans="1:19">
      <c r="A81" s="85" t="s">
        <v>96</v>
      </c>
      <c r="B81" s="109"/>
      <c r="C81" s="109"/>
      <c r="D81" s="109"/>
      <c r="E81" s="109"/>
      <c r="F81" s="109"/>
      <c r="G81" s="109"/>
      <c r="H81" s="123"/>
      <c r="I81" s="118" t="s">
        <v>311</v>
      </c>
      <c r="J81" s="118"/>
      <c r="K81" s="118"/>
      <c r="L81" s="118"/>
      <c r="M81" s="118"/>
      <c r="N81" s="109"/>
      <c r="O81" s="109"/>
      <c r="P81" s="109"/>
      <c r="Q81" s="109"/>
      <c r="R81" s="109"/>
      <c r="S81" s="85" t="s">
        <v>96</v>
      </c>
    </row>
    <row r="82" spans="1:19">
      <c r="A82" s="87" t="s">
        <v>226</v>
      </c>
      <c r="B82" s="106">
        <v>0</v>
      </c>
      <c r="C82" s="106">
        <v>0</v>
      </c>
      <c r="D82" s="106">
        <v>0</v>
      </c>
      <c r="E82" s="106">
        <v>0</v>
      </c>
      <c r="F82" s="106">
        <v>0</v>
      </c>
      <c r="G82" s="106">
        <v>0</v>
      </c>
      <c r="H82" s="107"/>
      <c r="I82" s="115">
        <v>0</v>
      </c>
      <c r="J82" s="115">
        <v>0</v>
      </c>
      <c r="K82" s="115">
        <v>0</v>
      </c>
      <c r="L82" s="115">
        <v>0</v>
      </c>
      <c r="M82" s="115">
        <v>0</v>
      </c>
      <c r="N82" s="119">
        <f t="shared" ref="N82:R85" si="27">I82</f>
        <v>0</v>
      </c>
      <c r="O82" s="119">
        <f t="shared" si="27"/>
        <v>0</v>
      </c>
      <c r="P82" s="119">
        <f t="shared" si="27"/>
        <v>0</v>
      </c>
      <c r="Q82" s="119">
        <f t="shared" si="27"/>
        <v>0</v>
      </c>
      <c r="R82" s="119">
        <f t="shared" si="27"/>
        <v>0</v>
      </c>
      <c r="S82" s="87" t="s">
        <v>226</v>
      </c>
    </row>
    <row r="83" spans="1:19">
      <c r="A83" s="87" t="s">
        <v>162</v>
      </c>
      <c r="B83" s="106">
        <v>0</v>
      </c>
      <c r="C83" s="106">
        <v>0</v>
      </c>
      <c r="D83" s="106">
        <v>0</v>
      </c>
      <c r="E83" s="106">
        <v>0</v>
      </c>
      <c r="F83" s="106">
        <v>0</v>
      </c>
      <c r="G83" s="106">
        <v>0</v>
      </c>
      <c r="H83" s="107"/>
      <c r="I83" s="115">
        <v>120</v>
      </c>
      <c r="J83" s="115">
        <v>120</v>
      </c>
      <c r="K83" s="115">
        <v>120</v>
      </c>
      <c r="L83" s="115">
        <v>120</v>
      </c>
      <c r="M83" s="115">
        <v>120</v>
      </c>
      <c r="N83" s="119">
        <f t="shared" si="27"/>
        <v>120</v>
      </c>
      <c r="O83" s="119">
        <f t="shared" si="27"/>
        <v>120</v>
      </c>
      <c r="P83" s="119">
        <f t="shared" si="27"/>
        <v>120</v>
      </c>
      <c r="Q83" s="119">
        <f t="shared" si="27"/>
        <v>120</v>
      </c>
      <c r="R83" s="119">
        <f t="shared" si="27"/>
        <v>120</v>
      </c>
      <c r="S83" s="87" t="s">
        <v>162</v>
      </c>
    </row>
    <row r="84" spans="1:19">
      <c r="A84" s="87" t="s">
        <v>97</v>
      </c>
      <c r="B84" s="106">
        <v>0</v>
      </c>
      <c r="C84" s="106">
        <v>0</v>
      </c>
      <c r="D84" s="106">
        <v>0</v>
      </c>
      <c r="E84" s="106">
        <v>0</v>
      </c>
      <c r="F84" s="106">
        <v>0</v>
      </c>
      <c r="G84" s="106">
        <v>0</v>
      </c>
      <c r="H84" s="107" t="s">
        <v>178</v>
      </c>
      <c r="I84" s="115">
        <v>32.9</v>
      </c>
      <c r="J84" s="115">
        <v>32.9</v>
      </c>
      <c r="K84" s="115">
        <v>32.9</v>
      </c>
      <c r="L84" s="115">
        <v>32.9</v>
      </c>
      <c r="M84" s="115">
        <v>32.9</v>
      </c>
      <c r="N84" s="119">
        <f t="shared" si="27"/>
        <v>32.9</v>
      </c>
      <c r="O84" s="119">
        <f t="shared" si="27"/>
        <v>32.9</v>
      </c>
      <c r="P84" s="119">
        <f t="shared" si="27"/>
        <v>32.9</v>
      </c>
      <c r="Q84" s="119">
        <f t="shared" si="27"/>
        <v>32.9</v>
      </c>
      <c r="R84" s="119">
        <f t="shared" si="27"/>
        <v>32.9</v>
      </c>
      <c r="S84" s="87" t="s">
        <v>97</v>
      </c>
    </row>
    <row r="85" spans="1:19">
      <c r="A85" s="87" t="s">
        <v>195</v>
      </c>
      <c r="B85" s="157">
        <v>0</v>
      </c>
      <c r="C85" s="157">
        <v>0</v>
      </c>
      <c r="D85" s="157">
        <v>0</v>
      </c>
      <c r="E85" s="106">
        <v>0</v>
      </c>
      <c r="F85" s="106">
        <v>0</v>
      </c>
      <c r="G85" s="106">
        <v>0</v>
      </c>
      <c r="H85" s="107">
        <v>0</v>
      </c>
      <c r="I85" s="115">
        <f>95.2-11.7</f>
        <v>83.5</v>
      </c>
      <c r="J85" s="115">
        <f>I85</f>
        <v>83.5</v>
      </c>
      <c r="K85" s="115">
        <f>J85</f>
        <v>83.5</v>
      </c>
      <c r="L85" s="115">
        <f>K85</f>
        <v>83.5</v>
      </c>
      <c r="M85" s="115">
        <f>L85</f>
        <v>83.5</v>
      </c>
      <c r="N85" s="119">
        <f t="shared" si="27"/>
        <v>83.5</v>
      </c>
      <c r="O85" s="119">
        <f t="shared" si="27"/>
        <v>83.5</v>
      </c>
      <c r="P85" s="119">
        <f t="shared" si="27"/>
        <v>83.5</v>
      </c>
      <c r="Q85" s="119">
        <f t="shared" si="27"/>
        <v>83.5</v>
      </c>
      <c r="R85" s="119">
        <f t="shared" si="27"/>
        <v>83.5</v>
      </c>
      <c r="S85" s="87" t="s">
        <v>195</v>
      </c>
    </row>
    <row r="86" spans="1:19">
      <c r="A86" s="110" t="s">
        <v>161</v>
      </c>
      <c r="B86" s="111">
        <v>0</v>
      </c>
      <c r="C86" s="111">
        <v>0</v>
      </c>
      <c r="D86" s="111">
        <v>0</v>
      </c>
      <c r="E86" s="157">
        <v>270</v>
      </c>
      <c r="F86" s="157">
        <v>304</v>
      </c>
      <c r="G86" s="157">
        <v>348</v>
      </c>
      <c r="H86" s="107" t="s">
        <v>109</v>
      </c>
      <c r="I86" s="154"/>
      <c r="J86" s="154"/>
      <c r="K86" s="154"/>
      <c r="L86" s="154"/>
      <c r="M86" s="154"/>
      <c r="N86" s="117">
        <f>F86+N30</f>
        <v>532.67238641968606</v>
      </c>
      <c r="O86" s="117">
        <f>N86+O30</f>
        <v>1107.7371375611497</v>
      </c>
      <c r="P86" s="117">
        <f>O86+P30</f>
        <v>1812.2171879619302</v>
      </c>
      <c r="Q86" s="117">
        <f>P86+Q30</f>
        <v>2597.830763494575</v>
      </c>
      <c r="R86" s="117">
        <f>Q86+R30</f>
        <v>3460.6925761548491</v>
      </c>
      <c r="S86" s="110" t="s">
        <v>161</v>
      </c>
    </row>
    <row r="87" spans="1:19">
      <c r="A87" s="155" t="s">
        <v>110</v>
      </c>
      <c r="B87" s="156">
        <f t="shared" ref="B87:G87" si="28">SUM(B82:B86)</f>
        <v>0</v>
      </c>
      <c r="C87" s="156">
        <f t="shared" si="28"/>
        <v>0</v>
      </c>
      <c r="D87" s="156">
        <f t="shared" si="28"/>
        <v>0</v>
      </c>
      <c r="E87" s="156">
        <f t="shared" si="28"/>
        <v>270</v>
      </c>
      <c r="F87" s="156">
        <f t="shared" si="28"/>
        <v>304</v>
      </c>
      <c r="G87" s="156">
        <f t="shared" si="28"/>
        <v>348</v>
      </c>
      <c r="H87" s="123"/>
      <c r="I87" s="118"/>
      <c r="J87" s="118"/>
      <c r="K87" s="118"/>
      <c r="L87" s="118"/>
      <c r="M87" s="118"/>
      <c r="N87" s="156">
        <f>SUM(N82:N86)</f>
        <v>769.07238641968604</v>
      </c>
      <c r="O87" s="156">
        <f>SUM(O82:O86)</f>
        <v>1344.1371375611498</v>
      </c>
      <c r="P87" s="156">
        <f>SUM(P82:P86)</f>
        <v>2048.6171879619301</v>
      </c>
      <c r="Q87" s="156">
        <f>SUM(Q82:Q86)</f>
        <v>2834.2307634945751</v>
      </c>
      <c r="R87" s="156">
        <f>SUM(R82:R86)</f>
        <v>3697.0925761548492</v>
      </c>
      <c r="S87" s="155" t="s">
        <v>111</v>
      </c>
    </row>
    <row r="88" spans="1:19">
      <c r="A88" s="159" t="s">
        <v>194</v>
      </c>
      <c r="B88" s="160">
        <v>0</v>
      </c>
      <c r="C88" s="160">
        <v>0</v>
      </c>
      <c r="D88" s="160">
        <v>0</v>
      </c>
      <c r="E88" s="160">
        <v>0</v>
      </c>
      <c r="F88" s="160">
        <v>0</v>
      </c>
      <c r="G88" s="160">
        <v>0</v>
      </c>
      <c r="H88" s="161"/>
      <c r="I88" s="161"/>
      <c r="J88" s="161"/>
      <c r="K88" s="161"/>
      <c r="L88" s="161"/>
      <c r="M88" s="161"/>
      <c r="N88" s="162"/>
      <c r="O88" s="162"/>
      <c r="P88" s="162"/>
      <c r="Q88" s="162"/>
      <c r="R88" s="162"/>
      <c r="S88" s="159" t="s">
        <v>194</v>
      </c>
    </row>
    <row r="89" spans="1:19">
      <c r="A89" s="87" t="s">
        <v>112</v>
      </c>
      <c r="B89" s="109">
        <f t="shared" ref="B89:G89" si="29">B80+B87+B88</f>
        <v>0</v>
      </c>
      <c r="C89" s="109">
        <f t="shared" si="29"/>
        <v>0</v>
      </c>
      <c r="D89" s="109">
        <f t="shared" si="29"/>
        <v>0</v>
      </c>
      <c r="E89" s="109">
        <f t="shared" si="29"/>
        <v>594</v>
      </c>
      <c r="F89" s="109">
        <f t="shared" si="29"/>
        <v>736</v>
      </c>
      <c r="G89" s="109">
        <f t="shared" si="29"/>
        <v>933</v>
      </c>
      <c r="H89" s="163"/>
      <c r="I89" s="164" t="s">
        <v>311</v>
      </c>
      <c r="J89" s="164"/>
      <c r="K89" s="164"/>
      <c r="L89" s="164"/>
      <c r="M89" s="164"/>
      <c r="N89" s="109">
        <f>N80+N87+N88</f>
        <v>1540.1480143420022</v>
      </c>
      <c r="O89" s="109">
        <f>O80+O87+O88</f>
        <v>2140.7516070758843</v>
      </c>
      <c r="P89" s="109">
        <f>P80+P87+P88</f>
        <v>2875.1694759617594</v>
      </c>
      <c r="Q89" s="109">
        <f>Q80+Q87+Q88</f>
        <v>3681.0007244691533</v>
      </c>
      <c r="R89" s="109">
        <f>R80+R87+R88</f>
        <v>4563.6282000341143</v>
      </c>
      <c r="S89" s="87" t="s">
        <v>112</v>
      </c>
    </row>
    <row r="90" spans="1:19">
      <c r="A90" s="87"/>
      <c r="B90" s="87"/>
      <c r="C90" s="87"/>
      <c r="D90" s="87"/>
      <c r="E90" s="87"/>
      <c r="F90" s="87"/>
      <c r="G90" s="87"/>
      <c r="H90" s="87"/>
      <c r="I90" s="87" t="s">
        <v>311</v>
      </c>
      <c r="J90" s="87"/>
      <c r="K90" s="87"/>
      <c r="L90" s="87"/>
      <c r="M90" s="87"/>
      <c r="N90" s="109"/>
      <c r="O90" s="109"/>
      <c r="P90" s="109"/>
      <c r="Q90" s="109"/>
      <c r="R90" s="109"/>
      <c r="S90" s="87"/>
    </row>
    <row r="91" spans="1:19">
      <c r="A91" s="87"/>
      <c r="B91" s="87"/>
      <c r="C91" s="87"/>
      <c r="F91" s="87"/>
      <c r="G91" s="87"/>
      <c r="H91" s="87"/>
      <c r="I91" s="87"/>
      <c r="K91" s="85" t="s">
        <v>113</v>
      </c>
      <c r="L91" s="87"/>
      <c r="M91" s="87"/>
      <c r="N91" s="165">
        <f>N62-N89</f>
        <v>-644.02226091734462</v>
      </c>
      <c r="O91" s="165">
        <f>O62-O89</f>
        <v>-1138.1185615964321</v>
      </c>
      <c r="P91" s="165">
        <f>P62-P89</f>
        <v>-1790.4329957864165</v>
      </c>
      <c r="Q91" s="165">
        <f>Q62-Q89</f>
        <v>-2327.6535994841665</v>
      </c>
      <c r="R91" s="165">
        <f>R62-R89</f>
        <v>-3122.0794056748109</v>
      </c>
      <c r="S91" s="87"/>
    </row>
    <row r="92" spans="1:19">
      <c r="A92" s="62"/>
      <c r="B92" s="62"/>
      <c r="C92" s="62"/>
      <c r="D92" s="62"/>
      <c r="S92" s="62"/>
    </row>
    <row r="93" spans="1:19">
      <c r="A93" s="94" t="s">
        <v>114</v>
      </c>
      <c r="B93" s="94" t="s">
        <v>115</v>
      </c>
      <c r="C93" s="94"/>
      <c r="N93" s="94" t="s">
        <v>173</v>
      </c>
      <c r="O93" s="94"/>
      <c r="P93" s="94"/>
      <c r="Q93" s="94"/>
      <c r="R93" s="94"/>
      <c r="S93" s="94" t="s">
        <v>114</v>
      </c>
    </row>
    <row r="94" spans="1:19">
      <c r="A94" s="145" t="s">
        <v>174</v>
      </c>
      <c r="B94" s="96">
        <f t="shared" ref="B94:D95" si="30">B43</f>
        <v>-5</v>
      </c>
      <c r="C94" s="96">
        <f t="shared" si="30"/>
        <v>-4</v>
      </c>
      <c r="D94" s="96">
        <f t="shared" si="30"/>
        <v>-3</v>
      </c>
      <c r="E94" s="96">
        <f>+E5</f>
        <v>-2</v>
      </c>
      <c r="F94" s="96">
        <f>F5</f>
        <v>-1</v>
      </c>
      <c r="G94" s="96">
        <f>G5</f>
        <v>0</v>
      </c>
      <c r="H94" s="96"/>
      <c r="I94" s="96" t="s">
        <v>311</v>
      </c>
      <c r="J94" s="96" t="s">
        <v>311</v>
      </c>
      <c r="K94" s="96" t="s">
        <v>311</v>
      </c>
      <c r="L94" s="96" t="s">
        <v>311</v>
      </c>
      <c r="M94" s="96" t="s">
        <v>311</v>
      </c>
      <c r="N94" s="96">
        <f>N5</f>
        <v>0</v>
      </c>
      <c r="O94" s="96">
        <f>O5</f>
        <v>1</v>
      </c>
      <c r="P94" s="96">
        <f>P5</f>
        <v>2</v>
      </c>
      <c r="Q94" s="96">
        <f>Q5</f>
        <v>3</v>
      </c>
      <c r="R94" s="96">
        <f>R5</f>
        <v>4</v>
      </c>
      <c r="S94" s="145" t="s">
        <v>174</v>
      </c>
    </row>
    <row r="95" spans="1:19">
      <c r="A95" s="145" t="s">
        <v>116</v>
      </c>
      <c r="B95" s="166">
        <f t="shared" si="30"/>
        <v>1998</v>
      </c>
      <c r="C95" s="166">
        <f t="shared" si="30"/>
        <v>1999</v>
      </c>
      <c r="D95" s="166">
        <f t="shared" si="30"/>
        <v>2000</v>
      </c>
      <c r="E95" s="166">
        <f>E44</f>
        <v>2001</v>
      </c>
      <c r="F95" s="166">
        <f>F44</f>
        <v>2002</v>
      </c>
      <c r="G95" s="166">
        <f>G44</f>
        <v>2003</v>
      </c>
      <c r="H95" s="166" t="s">
        <v>311</v>
      </c>
      <c r="I95" s="166" t="s">
        <v>311</v>
      </c>
      <c r="J95" s="166" t="s">
        <v>311</v>
      </c>
      <c r="K95" s="166" t="s">
        <v>311</v>
      </c>
      <c r="L95" s="166" t="s">
        <v>311</v>
      </c>
      <c r="M95" s="166" t="s">
        <v>311</v>
      </c>
      <c r="N95" s="166">
        <f>N44</f>
        <v>2003</v>
      </c>
      <c r="O95" s="166">
        <f>O44</f>
        <v>2004</v>
      </c>
      <c r="P95" s="166">
        <f>P44</f>
        <v>2005</v>
      </c>
      <c r="Q95" s="166">
        <f>Q44</f>
        <v>2006</v>
      </c>
      <c r="R95" s="166">
        <f>R44</f>
        <v>2007</v>
      </c>
      <c r="S95" s="145" t="s">
        <v>116</v>
      </c>
    </row>
    <row r="96" spans="1:19">
      <c r="A96" s="94" t="s">
        <v>117</v>
      </c>
      <c r="B96" s="94"/>
      <c r="C96" s="94"/>
      <c r="N96" s="167" t="s">
        <v>118</v>
      </c>
      <c r="S96" s="94" t="s">
        <v>117</v>
      </c>
    </row>
    <row r="97" spans="1:19">
      <c r="A97" s="62" t="s">
        <v>119</v>
      </c>
      <c r="B97" s="168" t="e">
        <f t="shared" ref="B97:G97" si="31">B52/B72</f>
        <v>#DIV/0!</v>
      </c>
      <c r="C97" s="168" t="e">
        <f t="shared" si="31"/>
        <v>#DIV/0!</v>
      </c>
      <c r="D97" s="168" t="e">
        <f t="shared" si="31"/>
        <v>#DIV/0!</v>
      </c>
      <c r="E97" s="168">
        <f t="shared" si="31"/>
        <v>1.8</v>
      </c>
      <c r="F97" s="168">
        <f t="shared" si="31"/>
        <v>1.5893333333333333</v>
      </c>
      <c r="G97" s="168">
        <f t="shared" si="31"/>
        <v>1.4504672897196262</v>
      </c>
      <c r="H97" s="168"/>
      <c r="I97" s="168" t="s">
        <v>311</v>
      </c>
      <c r="J97" s="168"/>
      <c r="K97" s="168"/>
      <c r="L97" s="168"/>
      <c r="M97" s="168"/>
      <c r="N97" s="168">
        <f>N52/N72</f>
        <v>1.9055287162714583</v>
      </c>
      <c r="O97" s="168">
        <f>O52/O72</f>
        <v>2.0771602076534772</v>
      </c>
      <c r="P97" s="168">
        <f>P52/P72</f>
        <v>2.1317116850234958</v>
      </c>
      <c r="Q97" s="168">
        <f>Q52/Q72</f>
        <v>2.3267484975264816</v>
      </c>
      <c r="R97" s="168">
        <f>R52/R72</f>
        <v>2.4307254914914407</v>
      </c>
      <c r="S97" s="62" t="s">
        <v>119</v>
      </c>
    </row>
    <row r="98" spans="1:19">
      <c r="A98" s="62" t="s">
        <v>120</v>
      </c>
      <c r="B98" s="168" t="e">
        <f t="shared" ref="B98:G98" si="32">(B52-B50)/B72</f>
        <v>#DIV/0!</v>
      </c>
      <c r="C98" s="168" t="e">
        <f t="shared" si="32"/>
        <v>#DIV/0!</v>
      </c>
      <c r="D98" s="168" t="e">
        <f t="shared" si="32"/>
        <v>#DIV/0!</v>
      </c>
      <c r="E98" s="168">
        <f t="shared" si="32"/>
        <v>0.88076923076923075</v>
      </c>
      <c r="F98" s="168">
        <f t="shared" si="32"/>
        <v>0.72</v>
      </c>
      <c r="G98" s="168">
        <f t="shared" si="32"/>
        <v>0.66915887850467293</v>
      </c>
      <c r="H98" s="168" t="s">
        <v>311</v>
      </c>
      <c r="I98" s="168" t="s">
        <v>311</v>
      </c>
      <c r="J98" s="168" t="s">
        <v>311</v>
      </c>
      <c r="K98" s="168" t="s">
        <v>311</v>
      </c>
      <c r="L98" s="168" t="s">
        <v>311</v>
      </c>
      <c r="M98" s="168" t="s">
        <v>311</v>
      </c>
      <c r="N98" s="168">
        <f>(N52-N50)/N72</f>
        <v>1.2627914734355592</v>
      </c>
      <c r="O98" s="168">
        <f>(O52-O50)/O72</f>
        <v>1.3342256449482996</v>
      </c>
      <c r="P98" s="168">
        <f>(P52-P50)/P72</f>
        <v>1.4017287553145001</v>
      </c>
      <c r="Q98" s="168">
        <f>(Q52-Q50)/Q72</f>
        <v>1.4946249560704448</v>
      </c>
      <c r="R98" s="168">
        <f>(R52-R50)/R72</f>
        <v>1.5756833723465218</v>
      </c>
      <c r="S98" s="62" t="s">
        <v>120</v>
      </c>
    </row>
    <row r="99" spans="1:19">
      <c r="A99" s="169" t="s">
        <v>121</v>
      </c>
      <c r="B99" s="168" t="e">
        <f t="shared" ref="B99:G99" si="33">B49/(B8/365)</f>
        <v>#DIV/0!</v>
      </c>
      <c r="C99" s="168" t="e">
        <f t="shared" si="33"/>
        <v>#DIV/0!</v>
      </c>
      <c r="D99" s="168" t="e">
        <f t="shared" si="33"/>
        <v>#DIV/0!</v>
      </c>
      <c r="E99" s="168">
        <f t="shared" si="33"/>
        <v>36.779611078373605</v>
      </c>
      <c r="F99" s="168">
        <f t="shared" si="33"/>
        <v>40.253353204172875</v>
      </c>
      <c r="G99" s="168">
        <f t="shared" si="33"/>
        <v>42.949146250927988</v>
      </c>
      <c r="H99" s="168" t="s">
        <v>122</v>
      </c>
      <c r="I99" s="168"/>
      <c r="J99" s="168"/>
      <c r="K99" s="168"/>
      <c r="L99" s="168"/>
      <c r="M99" s="168"/>
      <c r="N99" s="168">
        <f>N49/(N8/365)</f>
        <v>49.999999999999993</v>
      </c>
      <c r="O99" s="168">
        <f>O49/(O8/365)</f>
        <v>52</v>
      </c>
      <c r="P99" s="168">
        <f>P49/(P8/365)</f>
        <v>54</v>
      </c>
      <c r="Q99" s="168">
        <f>Q49/(Q8/365)</f>
        <v>56</v>
      </c>
      <c r="R99" s="168">
        <f>R49/(R8/365)</f>
        <v>58</v>
      </c>
      <c r="S99" s="62" t="s">
        <v>123</v>
      </c>
    </row>
    <row r="100" spans="1:19">
      <c r="A100" s="169" t="s">
        <v>124</v>
      </c>
      <c r="B100" s="168" t="e">
        <f>-B50/(B9/365)</f>
        <v>#DIV/0!</v>
      </c>
      <c r="C100" s="168" t="e">
        <f>-C50/(C9/365)</f>
        <v>#DIV/0!</v>
      </c>
      <c r="D100" s="168" t="e">
        <f>-D50/(D9/365)</f>
        <v>#DIV/0!</v>
      </c>
      <c r="E100" s="168">
        <f>E50/(E9/365)</f>
        <v>71.387070376432078</v>
      </c>
      <c r="F100" s="168">
        <f>F50/(F9/365)</f>
        <v>82.804453723034101</v>
      </c>
      <c r="G100" s="168">
        <f>G50/(G9/365)</f>
        <v>78.241025641025644</v>
      </c>
      <c r="H100" s="168" t="s">
        <v>122</v>
      </c>
      <c r="I100" s="168"/>
      <c r="J100" s="168"/>
      <c r="K100" s="168"/>
      <c r="L100" s="168"/>
      <c r="M100" s="168"/>
      <c r="N100" s="168">
        <f>N50/-(N9/365)</f>
        <v>50</v>
      </c>
      <c r="O100" s="168">
        <f>O50/-(O9/365)</f>
        <v>55</v>
      </c>
      <c r="P100" s="168">
        <f>P50/-(P9/365)</f>
        <v>55.000000000000007</v>
      </c>
      <c r="Q100" s="168">
        <f>Q50/-(Q9/365)</f>
        <v>59.999999999999993</v>
      </c>
      <c r="R100" s="168">
        <f>R50/-(R9/365)</f>
        <v>60</v>
      </c>
      <c r="S100" s="62" t="s">
        <v>125</v>
      </c>
    </row>
    <row r="101" spans="1:19">
      <c r="A101" s="169" t="s">
        <v>126</v>
      </c>
      <c r="B101" s="168" t="e">
        <f>-B66/(B9/365)</f>
        <v>#DIV/0!</v>
      </c>
      <c r="C101" s="168" t="e">
        <f>-C66/(C9/365)</f>
        <v>#DIV/0!</v>
      </c>
      <c r="D101" s="168" t="e">
        <f>-D66/(D9/365)</f>
        <v>#DIV/0!</v>
      </c>
      <c r="E101" s="168">
        <f>E66/(E9/365)</f>
        <v>37.037643207855979</v>
      </c>
      <c r="F101" s="168">
        <f>F66/(F9/365)</f>
        <v>48.768267223382047</v>
      </c>
      <c r="G101" s="168">
        <f>G66/(G9/365)</f>
        <v>47.917948717948718</v>
      </c>
      <c r="H101" s="168" t="s">
        <v>122</v>
      </c>
      <c r="I101" s="168"/>
      <c r="J101" s="168"/>
      <c r="K101" s="168"/>
      <c r="L101" s="168"/>
      <c r="M101" s="168"/>
      <c r="N101" s="168">
        <f>N66/(-N9/365)</f>
        <v>50</v>
      </c>
      <c r="O101" s="168">
        <f>O66/(-O9/365)</f>
        <v>55</v>
      </c>
      <c r="P101" s="168">
        <f>P66/(-P9/365)</f>
        <v>60.000000000000007</v>
      </c>
      <c r="Q101" s="168">
        <f>Q66/(-Q9/365)</f>
        <v>59.999999999999993</v>
      </c>
      <c r="R101" s="168">
        <f>R66/(-R9/365)</f>
        <v>60</v>
      </c>
      <c r="S101" s="62" t="s">
        <v>127</v>
      </c>
    </row>
    <row r="102" spans="1:19">
      <c r="A102" s="62"/>
      <c r="S102" s="62"/>
    </row>
    <row r="103" spans="1:19">
      <c r="A103" s="94" t="s">
        <v>128</v>
      </c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94" t="s">
        <v>128</v>
      </c>
    </row>
    <row r="104" spans="1:19">
      <c r="A104" s="62" t="s">
        <v>129</v>
      </c>
      <c r="B104" s="170" t="e">
        <f t="shared" ref="B104:G104" si="34">(B76+B77)/(B76+B77+B87)</f>
        <v>#DIV/0!</v>
      </c>
      <c r="C104" s="170" t="e">
        <f t="shared" si="34"/>
        <v>#DIV/0!</v>
      </c>
      <c r="D104" s="170" t="e">
        <f t="shared" si="34"/>
        <v>#DIV/0!</v>
      </c>
      <c r="E104" s="170">
        <f t="shared" si="34"/>
        <v>0.19161676646706588</v>
      </c>
      <c r="F104" s="170">
        <f t="shared" si="34"/>
        <v>0.15789473684210525</v>
      </c>
      <c r="G104" s="170">
        <f t="shared" si="34"/>
        <v>0.12562814070351758</v>
      </c>
      <c r="H104" s="170"/>
      <c r="I104" s="170" t="s">
        <v>311</v>
      </c>
      <c r="J104" s="170"/>
      <c r="K104" s="170"/>
      <c r="L104" s="170"/>
      <c r="M104" s="170"/>
      <c r="N104" s="171">
        <f>(N76+N77)/(N69+N70+N82+N83+N86)</f>
        <v>0.54034836981611511</v>
      </c>
      <c r="O104" s="171">
        <f>(O76+O77)/(O69+O70+O82+O83+O86)</f>
        <v>0.30867024809110233</v>
      </c>
      <c r="P104" s="171">
        <f>(P76+P77)/(P69+P70+P82+P83+P86)</f>
        <v>0.20237401456867671</v>
      </c>
      <c r="Q104" s="171">
        <f>(Q76+Q77)/(Q69+Q70+Q82+Q83+Q86)</f>
        <v>0.14622099450119341</v>
      </c>
      <c r="R104" s="171">
        <f>(R76+R77)/(R69+R70+R82+R83+R86)</f>
        <v>0.11206779058359691</v>
      </c>
      <c r="S104" s="167" t="s">
        <v>129</v>
      </c>
    </row>
    <row r="105" spans="1:19">
      <c r="A105" s="62" t="s">
        <v>30</v>
      </c>
      <c r="B105" s="170" t="e">
        <f t="shared" ref="B105:G105" si="35">(B76+B77)/(B87)</f>
        <v>#DIV/0!</v>
      </c>
      <c r="C105" s="170" t="e">
        <f t="shared" si="35"/>
        <v>#DIV/0!</v>
      </c>
      <c r="D105" s="170" t="e">
        <f t="shared" si="35"/>
        <v>#DIV/0!</v>
      </c>
      <c r="E105" s="170">
        <f t="shared" si="35"/>
        <v>0.23703703703703705</v>
      </c>
      <c r="F105" s="170">
        <f t="shared" si="35"/>
        <v>0.1875</v>
      </c>
      <c r="G105" s="170">
        <f t="shared" si="35"/>
        <v>0.14367816091954022</v>
      </c>
      <c r="H105" s="170"/>
      <c r="I105" s="170" t="s">
        <v>311</v>
      </c>
      <c r="J105" s="170"/>
      <c r="K105" s="170"/>
      <c r="L105" s="170"/>
      <c r="M105" s="170"/>
      <c r="N105" s="171">
        <f>(N76+N77)/(N82+N83+N86)</f>
        <v>0.63431517651765146</v>
      </c>
      <c r="O105" s="171">
        <f>(O76+O77)/(O82+O83+O86)</f>
        <v>0.33720573185754915</v>
      </c>
      <c r="P105" s="171">
        <f>(P76+P77)/(P82+P83+P86)</f>
        <v>0.21426162782284333</v>
      </c>
      <c r="Q105" s="171">
        <f>(Q76+Q77)/(Q82+Q83+Q86)</f>
        <v>0.15232736547130721</v>
      </c>
      <c r="R105" s="171">
        <f>(R76+R77)/(R82+R83+R86)</f>
        <v>0.11562009058163175</v>
      </c>
      <c r="S105" s="167" t="s">
        <v>30</v>
      </c>
    </row>
    <row r="106" spans="1:19">
      <c r="A106" s="62" t="s">
        <v>31</v>
      </c>
      <c r="B106" s="168" t="e">
        <f>-B18/B19</f>
        <v>#DIV/0!</v>
      </c>
      <c r="C106" s="168" t="e">
        <f>-C18/C19</f>
        <v>#DIV/0!</v>
      </c>
      <c r="D106" s="168" t="e">
        <f>-D18/D19</f>
        <v>#DIV/0!</v>
      </c>
      <c r="E106" s="168">
        <f>E18/E19</f>
        <v>3.8461538461538463</v>
      </c>
      <c r="F106" s="168">
        <f>F18/F19</f>
        <v>3.05</v>
      </c>
      <c r="G106" s="168">
        <f>G18/G19</f>
        <v>2.606060606060606</v>
      </c>
      <c r="H106" s="168" t="s">
        <v>32</v>
      </c>
      <c r="I106" s="168" t="s">
        <v>311</v>
      </c>
      <c r="J106" s="168"/>
      <c r="K106" s="168"/>
      <c r="L106" s="168"/>
      <c r="M106" s="168"/>
      <c r="N106" s="172" t="e">
        <f>N18/N19</f>
        <v>#DIV/0!</v>
      </c>
      <c r="O106" s="172" t="e">
        <f>O18/O19</f>
        <v>#DIV/0!</v>
      </c>
      <c r="P106" s="172" t="e">
        <f>P18/P19</f>
        <v>#DIV/0!</v>
      </c>
      <c r="Q106" s="172" t="e">
        <f>Q18/Q19</f>
        <v>#DIV/0!</v>
      </c>
      <c r="R106" s="172" t="e">
        <f>R18/R19</f>
        <v>#DIV/0!</v>
      </c>
      <c r="S106" s="167" t="s">
        <v>31</v>
      </c>
    </row>
    <row r="107" spans="1:19">
      <c r="A107" s="62" t="s">
        <v>33</v>
      </c>
      <c r="B107" s="168" t="e">
        <f>(B18+B69)/((-B19+B69)/(1-(-B23/B22)))</f>
        <v>#DIV/0!</v>
      </c>
      <c r="C107" s="168" t="e">
        <f>(C18+C69)/((-C19+C69)/(1-(-C23/C22)))</f>
        <v>#DIV/0!</v>
      </c>
      <c r="D107" s="168" t="e">
        <f>(D18+D69)/((-D19+D69)/(1-(-D23/D22)))</f>
        <v>#DIV/0!</v>
      </c>
      <c r="E107" s="168">
        <f>(E18+E69)/((E19+E69)/(1-(E23/E22)))</f>
        <v>3.2224532224532227</v>
      </c>
      <c r="F107" s="168">
        <f>(F18+F69)/((F19+F69)/(1-(F23/F22)))</f>
        <v>2.5292682926829269</v>
      </c>
      <c r="G107" s="168">
        <f>(G18+G69)/((G19+G69)/(1-(G23/G22)))</f>
        <v>2.1635220125786163</v>
      </c>
      <c r="H107" s="168" t="s">
        <v>32</v>
      </c>
      <c r="I107" s="168" t="s">
        <v>32</v>
      </c>
      <c r="J107" s="168" t="s">
        <v>32</v>
      </c>
      <c r="K107" s="168" t="s">
        <v>32</v>
      </c>
      <c r="L107" s="168" t="s">
        <v>32</v>
      </c>
      <c r="M107" s="168" t="s">
        <v>32</v>
      </c>
      <c r="N107" s="172">
        <f>(N18+N69)/((-N19+N69)/(1-(-N23/N22)))</f>
        <v>166.65524558639797</v>
      </c>
      <c r="O107" s="172">
        <f>(O18+O69)/((-O19+O69)/(1-(-O23/O22)))</f>
        <v>448.29947004878056</v>
      </c>
      <c r="P107" s="172">
        <f>(P18+P69)/((-P19+P69)/(1-(-P23/P22)))</f>
        <v>584.33500135024406</v>
      </c>
      <c r="Q107" s="172">
        <f>(Q18+Q69)/((-Q19+Q69)/(1-(-Q23/Q22)))</f>
        <v>695.5914709341663</v>
      </c>
      <c r="R107" s="172">
        <f>(R18+R69)/((-R19+R69)/(1-(-R23/R22)))</f>
        <v>764.25657060317087</v>
      </c>
      <c r="S107" s="167" t="s">
        <v>33</v>
      </c>
    </row>
    <row r="109" spans="1:19">
      <c r="A109" s="94" t="s">
        <v>34</v>
      </c>
      <c r="S109" s="94" t="s">
        <v>35</v>
      </c>
    </row>
    <row r="110" spans="1:19">
      <c r="A110" s="62" t="s">
        <v>36</v>
      </c>
      <c r="B110" s="168" t="e">
        <f t="shared" ref="B110:G110" si="36">B8/B61</f>
        <v>#DIV/0!</v>
      </c>
      <c r="C110" s="168" t="e">
        <f t="shared" si="36"/>
        <v>#DIV/0!</v>
      </c>
      <c r="D110" s="168" t="e">
        <f t="shared" si="36"/>
        <v>#DIV/0!</v>
      </c>
      <c r="E110" s="168">
        <f t="shared" si="36"/>
        <v>13.468253968253968</v>
      </c>
      <c r="F110" s="168">
        <f t="shared" si="36"/>
        <v>14.378571428571428</v>
      </c>
      <c r="G110" s="168">
        <f t="shared" si="36"/>
        <v>17.159235668789808</v>
      </c>
      <c r="H110" s="168"/>
      <c r="I110" s="168" t="s">
        <v>311</v>
      </c>
      <c r="J110" s="168"/>
      <c r="K110" s="168"/>
      <c r="L110" s="168"/>
      <c r="M110" s="168"/>
      <c r="N110" s="168">
        <f>N8/N61</f>
        <v>7.3175809649702579</v>
      </c>
      <c r="O110" s="168">
        <f>O8/O61</f>
        <v>8.1956906807666901</v>
      </c>
      <c r="P110" s="168">
        <f>P8/P61</f>
        <v>9.1822080000000028</v>
      </c>
      <c r="Q110" s="168">
        <f>Q8/Q61</f>
        <v>6.874988000883981</v>
      </c>
      <c r="R110" s="168">
        <f>R8/R61</f>
        <v>7.42662828477454</v>
      </c>
      <c r="S110" s="62" t="s">
        <v>36</v>
      </c>
    </row>
    <row r="111" spans="1:19">
      <c r="A111" s="62" t="s">
        <v>37</v>
      </c>
      <c r="B111" s="168" t="e">
        <f t="shared" ref="B111:G111" si="37">B8/B62</f>
        <v>#DIV/0!</v>
      </c>
      <c r="C111" s="168" t="e">
        <f t="shared" si="37"/>
        <v>#DIV/0!</v>
      </c>
      <c r="D111" s="168" t="e">
        <f t="shared" si="37"/>
        <v>#DIV/0!</v>
      </c>
      <c r="E111" s="168">
        <f t="shared" si="37"/>
        <v>2.8569023569023568</v>
      </c>
      <c r="F111" s="168">
        <f t="shared" si="37"/>
        <v>2.7350543478260869</v>
      </c>
      <c r="G111" s="168">
        <f t="shared" si="37"/>
        <v>2.887459807073955</v>
      </c>
      <c r="H111" s="168"/>
      <c r="I111" s="168" t="s">
        <v>311</v>
      </c>
      <c r="J111" s="168"/>
      <c r="K111" s="168"/>
      <c r="L111" s="168"/>
      <c r="M111" s="168"/>
      <c r="N111" s="168">
        <f>N8/N62</f>
        <v>2.4709701641067379</v>
      </c>
      <c r="O111" s="168">
        <f>O8/O62</f>
        <v>2.4735031537027328</v>
      </c>
      <c r="P111" s="168">
        <f>P8/P62</f>
        <v>2.5606384322494726</v>
      </c>
      <c r="Q111" s="168">
        <f>Q8/Q62</f>
        <v>2.2986948529073885</v>
      </c>
      <c r="R111" s="168">
        <f>R8/R62</f>
        <v>2.3306922729072577</v>
      </c>
      <c r="S111" s="62" t="s">
        <v>37</v>
      </c>
    </row>
    <row r="112" spans="1:19">
      <c r="A112" s="62"/>
      <c r="S112" s="62"/>
    </row>
    <row r="113" spans="1:19">
      <c r="A113" s="94" t="s">
        <v>38</v>
      </c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94" t="s">
        <v>38</v>
      </c>
    </row>
    <row r="114" spans="1:19">
      <c r="A114" s="62" t="s">
        <v>39</v>
      </c>
      <c r="B114" s="170" t="e">
        <f t="shared" ref="B114:G114" si="38">B10/B8</f>
        <v>#DIV/0!</v>
      </c>
      <c r="C114" s="170" t="e">
        <f t="shared" si="38"/>
        <v>#DIV/0!</v>
      </c>
      <c r="D114" s="170" t="e">
        <f t="shared" si="38"/>
        <v>#DIV/0!</v>
      </c>
      <c r="E114" s="170">
        <f t="shared" si="38"/>
        <v>0.2799057159693577</v>
      </c>
      <c r="F114" s="170">
        <f t="shared" si="38"/>
        <v>0.28614008941877794</v>
      </c>
      <c r="G114" s="170">
        <f t="shared" si="38"/>
        <v>0.27616926503340755</v>
      </c>
      <c r="H114" s="170"/>
      <c r="I114" s="170" t="s">
        <v>311</v>
      </c>
      <c r="J114" s="170"/>
      <c r="K114" s="170"/>
      <c r="L114" s="170"/>
      <c r="M114" s="170"/>
      <c r="N114" s="170">
        <f>N10/N8</f>
        <v>0.34</v>
      </c>
      <c r="O114" s="170">
        <f>O10/O8</f>
        <v>0.33</v>
      </c>
      <c r="P114" s="170">
        <f>P10/P8</f>
        <v>0.36</v>
      </c>
      <c r="Q114" s="170">
        <f>Q10/Q8</f>
        <v>0.37</v>
      </c>
      <c r="R114" s="170">
        <f>R10/R8</f>
        <v>0.37</v>
      </c>
      <c r="S114" s="62" t="s">
        <v>39</v>
      </c>
    </row>
    <row r="115" spans="1:19">
      <c r="A115" s="62" t="s">
        <v>40</v>
      </c>
      <c r="B115" s="170" t="e">
        <f t="shared" ref="B115:G115" si="39">B18/B8</f>
        <v>#DIV/0!</v>
      </c>
      <c r="C115" s="170" t="e">
        <f t="shared" si="39"/>
        <v>#DIV/0!</v>
      </c>
      <c r="D115" s="170" t="e">
        <f t="shared" si="39"/>
        <v>#DIV/0!</v>
      </c>
      <c r="E115" s="170">
        <f t="shared" si="39"/>
        <v>2.9463759575721862E-2</v>
      </c>
      <c r="F115" s="170">
        <f t="shared" si="39"/>
        <v>3.0303030303030304E-2</v>
      </c>
      <c r="G115" s="170">
        <f t="shared" si="39"/>
        <v>3.1922791388270227E-2</v>
      </c>
      <c r="H115" s="170" t="s">
        <v>32</v>
      </c>
      <c r="I115" s="170" t="s">
        <v>311</v>
      </c>
      <c r="J115" s="170"/>
      <c r="K115" s="170"/>
      <c r="L115" s="170"/>
      <c r="M115" s="170"/>
      <c r="N115" s="170">
        <f>N18/N8</f>
        <v>9.5753526354862659E-2</v>
      </c>
      <c r="O115" s="170">
        <f>O18/O8</f>
        <v>0.23099999999999998</v>
      </c>
      <c r="P115" s="170">
        <f>P18/P8</f>
        <v>0.26899999999999996</v>
      </c>
      <c r="Q115" s="170">
        <f>Q18/Q8</f>
        <v>0.28600000000000003</v>
      </c>
      <c r="R115" s="170">
        <f>R18/R8</f>
        <v>0.29099999999999998</v>
      </c>
      <c r="S115" s="62" t="s">
        <v>40</v>
      </c>
    </row>
    <row r="116" spans="1:19">
      <c r="A116" t="s">
        <v>41</v>
      </c>
      <c r="B116" s="170" t="e">
        <f t="shared" ref="B116:G116" si="40">B27/B8</f>
        <v>#DIV/0!</v>
      </c>
      <c r="C116" s="170" t="e">
        <f t="shared" si="40"/>
        <v>#DIV/0!</v>
      </c>
      <c r="D116" s="170" t="e">
        <f t="shared" si="40"/>
        <v>#DIV/0!</v>
      </c>
      <c r="E116" s="170">
        <f t="shared" si="40"/>
        <v>1.8267530936947555E-2</v>
      </c>
      <c r="F116" s="170">
        <f t="shared" si="40"/>
        <v>1.6890213611525089E-2</v>
      </c>
      <c r="G116" s="170">
        <f t="shared" si="40"/>
        <v>1.6332590942835932E-2</v>
      </c>
      <c r="H116" s="170" t="s">
        <v>32</v>
      </c>
      <c r="I116" s="170" t="s">
        <v>311</v>
      </c>
      <c r="J116" s="170"/>
      <c r="K116" s="170"/>
      <c r="L116" s="170"/>
      <c r="M116" s="170"/>
      <c r="N116" s="171">
        <f>N27/N8</f>
        <v>0.11474526006196392</v>
      </c>
      <c r="O116" s="171">
        <f>O27/O8</f>
        <v>0.2727993553464092</v>
      </c>
      <c r="P116" s="171">
        <f>P27/P8</f>
        <v>0.3170342676220117</v>
      </c>
      <c r="Q116" s="171">
        <f>Q27/Q8</f>
        <v>0.33671090967993217</v>
      </c>
      <c r="R116" s="171">
        <f>R27/R8</f>
        <v>0.34242518737301753</v>
      </c>
      <c r="S116" s="167" t="s">
        <v>41</v>
      </c>
    </row>
    <row r="117" spans="1:19">
      <c r="A117" s="62" t="s">
        <v>42</v>
      </c>
      <c r="B117" s="170" t="e">
        <f t="shared" ref="B117:G117" si="41">B27/B62</f>
        <v>#DIV/0!</v>
      </c>
      <c r="C117" s="170" t="e">
        <f t="shared" si="41"/>
        <v>#DIV/0!</v>
      </c>
      <c r="D117" s="170" t="e">
        <f t="shared" si="41"/>
        <v>#DIV/0!</v>
      </c>
      <c r="E117" s="170">
        <f t="shared" si="41"/>
        <v>5.2188552188552187E-2</v>
      </c>
      <c r="F117" s="170">
        <f t="shared" si="41"/>
        <v>4.619565217391304E-2</v>
      </c>
      <c r="G117" s="170">
        <f t="shared" si="41"/>
        <v>4.7159699892818867E-2</v>
      </c>
      <c r="H117" s="170"/>
      <c r="I117" s="170" t="s">
        <v>311</v>
      </c>
      <c r="J117" s="170"/>
      <c r="K117" s="170"/>
      <c r="L117" s="170"/>
      <c r="M117" s="170"/>
      <c r="N117" s="171">
        <f>N27/N62</f>
        <v>0.28353211408578127</v>
      </c>
      <c r="O117" s="171">
        <f>O27/O62</f>
        <v>0.67477006577741572</v>
      </c>
      <c r="P117" s="171">
        <f>P27/P62</f>
        <v>0.81181013001298774</v>
      </c>
      <c r="Q117" s="171">
        <f>Q27/Q62</f>
        <v>0.77399563499902468</v>
      </c>
      <c r="R117" s="171">
        <f>R27/R62</f>
        <v>0.79808773825911183</v>
      </c>
      <c r="S117" s="167" t="s">
        <v>42</v>
      </c>
    </row>
    <row r="118" spans="1:19">
      <c r="A118" s="62" t="s">
        <v>43</v>
      </c>
      <c r="B118" s="170" t="e">
        <f t="shared" ref="B118:G118" si="42">B27/(B87)</f>
        <v>#DIV/0!</v>
      </c>
      <c r="C118" s="170" t="e">
        <f t="shared" si="42"/>
        <v>#DIV/0!</v>
      </c>
      <c r="D118" s="170" t="e">
        <f t="shared" si="42"/>
        <v>#DIV/0!</v>
      </c>
      <c r="E118" s="170">
        <f t="shared" si="42"/>
        <v>0.11481481481481481</v>
      </c>
      <c r="F118" s="170">
        <f t="shared" si="42"/>
        <v>0.1118421052631579</v>
      </c>
      <c r="G118" s="170">
        <f t="shared" si="42"/>
        <v>0.12643678160919541</v>
      </c>
      <c r="H118" s="170"/>
      <c r="I118" s="170" t="s">
        <v>311</v>
      </c>
      <c r="J118" s="170"/>
      <c r="K118" s="170"/>
      <c r="L118" s="170"/>
      <c r="M118" s="170"/>
      <c r="N118" s="171">
        <f>N27/(N82+N83+N86)</f>
        <v>0.38929244540127689</v>
      </c>
      <c r="O118" s="171">
        <f>O27/(O82+O83+O86)</f>
        <v>0.55105180526893027</v>
      </c>
      <c r="P118" s="171">
        <f>P27/(P82+P83+P86)</f>
        <v>0.45574590086832717</v>
      </c>
      <c r="Q118" s="171">
        <f>Q27/(Q82+Q83+Q86)</f>
        <v>0.38541206518319338</v>
      </c>
      <c r="R118" s="171">
        <f>R27/(R82+R83+R86)</f>
        <v>0.32130164553691432</v>
      </c>
      <c r="S118" s="167" t="s">
        <v>43</v>
      </c>
    </row>
    <row r="119" spans="1:19">
      <c r="A119" s="169" t="s">
        <v>44</v>
      </c>
      <c r="B119" s="170" t="e">
        <f>(B18*(1-(-B23/B22)))/B62</f>
        <v>#DIV/0!</v>
      </c>
      <c r="C119" s="170" t="e">
        <f>(C18*(1-(-C23/C22)))/C62</f>
        <v>#DIV/0!</v>
      </c>
      <c r="D119" s="170" t="e">
        <f>(D18*(1-(-D23/D22)))/D62</f>
        <v>#DIV/0!</v>
      </c>
      <c r="E119" s="170">
        <f>(E18*(1-(E23/E22)))/E62</f>
        <v>7.0525070525070524E-2</v>
      </c>
      <c r="F119" s="170">
        <f>(F18*(1-(F23/F22)))/F62</f>
        <v>6.8730116648992576E-2</v>
      </c>
      <c r="G119" s="170">
        <f>(G18*(1-(G23/G22)))/G62</f>
        <v>7.6523286618536274E-2</v>
      </c>
      <c r="H119" s="170" t="s">
        <v>32</v>
      </c>
      <c r="I119" s="170" t="s">
        <v>32</v>
      </c>
      <c r="J119" s="170" t="s">
        <v>32</v>
      </c>
      <c r="K119" s="170" t="s">
        <v>32</v>
      </c>
      <c r="L119" s="170" t="s">
        <v>32</v>
      </c>
      <c r="M119" s="170" t="s">
        <v>32</v>
      </c>
      <c r="N119" s="171">
        <f>(N18*(1-(-N23/N22)))/N62</f>
        <v>0.27699992983126692</v>
      </c>
      <c r="O119" s="171">
        <f>(O18*(1-(-O23/O22)))/O62</f>
        <v>0.66893177971355844</v>
      </c>
      <c r="P119" s="171">
        <f>(P18*(1-(-P23/P22)))/P62</f>
        <v>0.80641374237085806</v>
      </c>
      <c r="Q119" s="171">
        <f>(Q18*(1-(-Q23/Q22)))/Q62</f>
        <v>0.7696703156271375</v>
      </c>
      <c r="R119" s="171">
        <f>(R18*(1-(-R23/R22)))/R62</f>
        <v>0.79402706507240439</v>
      </c>
      <c r="S119" s="167" t="s">
        <v>44</v>
      </c>
    </row>
    <row r="121" spans="1:19">
      <c r="A121" s="94" t="s">
        <v>45</v>
      </c>
      <c r="B121" s="170" t="e">
        <f t="shared" ref="B121:G121" si="43">B124*B123*B122</f>
        <v>#DIV/0!</v>
      </c>
      <c r="C121" s="170" t="e">
        <f t="shared" si="43"/>
        <v>#DIV/0!</v>
      </c>
      <c r="D121" s="170" t="e">
        <f t="shared" si="43"/>
        <v>#DIV/0!</v>
      </c>
      <c r="E121" s="170">
        <f t="shared" si="43"/>
        <v>0.11481481481481483</v>
      </c>
      <c r="F121" s="170">
        <f t="shared" si="43"/>
        <v>0.11184210526315791</v>
      </c>
      <c r="G121" s="170">
        <f t="shared" si="43"/>
        <v>0.12643678160919539</v>
      </c>
      <c r="H121" s="170"/>
      <c r="I121" s="170"/>
      <c r="J121" s="170"/>
      <c r="K121" s="170"/>
      <c r="N121" s="171">
        <f>N124*N123*N122</f>
        <v>0</v>
      </c>
      <c r="O121" s="171">
        <f>O124*O123*O122</f>
        <v>0</v>
      </c>
      <c r="P121" s="171">
        <f>P124*P123*P122</f>
        <v>29.544235971535663</v>
      </c>
      <c r="Q121" s="171">
        <f>Q124*Q123*Q122</f>
        <v>78.668228610323325</v>
      </c>
      <c r="R121" s="171">
        <f>R124*R123*R122</f>
        <v>102.39535616290418</v>
      </c>
      <c r="S121" s="83" t="s">
        <v>45</v>
      </c>
    </row>
    <row r="122" spans="1:19">
      <c r="A122" s="62" t="s">
        <v>46</v>
      </c>
      <c r="B122" s="170" t="e">
        <f t="shared" ref="B122:G122" si="44">B116</f>
        <v>#DIV/0!</v>
      </c>
      <c r="C122" s="170" t="e">
        <f t="shared" si="44"/>
        <v>#DIV/0!</v>
      </c>
      <c r="D122" s="170" t="e">
        <f t="shared" si="44"/>
        <v>#DIV/0!</v>
      </c>
      <c r="E122" s="170">
        <f t="shared" si="44"/>
        <v>1.8267530936947555E-2</v>
      </c>
      <c r="F122" s="170">
        <f t="shared" si="44"/>
        <v>1.6890213611525089E-2</v>
      </c>
      <c r="G122" s="170">
        <f t="shared" si="44"/>
        <v>1.6332590942835932E-2</v>
      </c>
      <c r="H122" s="170"/>
      <c r="I122" s="170"/>
      <c r="J122" s="170"/>
      <c r="K122" s="170"/>
      <c r="N122" s="171">
        <f>L116</f>
        <v>0</v>
      </c>
      <c r="O122" s="171">
        <f>M116</f>
        <v>0</v>
      </c>
      <c r="P122" s="171">
        <f>N116</f>
        <v>0.11474526006196392</v>
      </c>
      <c r="Q122" s="171">
        <f>O116</f>
        <v>0.2727993553464092</v>
      </c>
      <c r="R122" s="171">
        <f>P116</f>
        <v>0.3170342676220117</v>
      </c>
      <c r="S122" s="167" t="s">
        <v>46</v>
      </c>
    </row>
    <row r="123" spans="1:19">
      <c r="A123" s="62" t="s">
        <v>47</v>
      </c>
      <c r="B123" s="173" t="e">
        <f t="shared" ref="B123:G123" si="45">B111</f>
        <v>#DIV/0!</v>
      </c>
      <c r="C123" s="173" t="e">
        <f t="shared" si="45"/>
        <v>#DIV/0!</v>
      </c>
      <c r="D123" s="173" t="e">
        <f t="shared" si="45"/>
        <v>#DIV/0!</v>
      </c>
      <c r="E123" s="173">
        <f t="shared" si="45"/>
        <v>2.8569023569023568</v>
      </c>
      <c r="F123" s="173">
        <f t="shared" si="45"/>
        <v>2.7350543478260869</v>
      </c>
      <c r="G123" s="173">
        <f t="shared" si="45"/>
        <v>2.887459807073955</v>
      </c>
      <c r="H123" s="173"/>
      <c r="I123" s="173"/>
      <c r="J123" s="173"/>
      <c r="K123" s="173"/>
      <c r="N123" s="173">
        <f>L111</f>
        <v>0</v>
      </c>
      <c r="O123" s="173">
        <f>M111</f>
        <v>0</v>
      </c>
      <c r="P123" s="173">
        <f>N111</f>
        <v>2.4709701641067379</v>
      </c>
      <c r="Q123" s="173">
        <f>O111</f>
        <v>2.4735031537027328</v>
      </c>
      <c r="R123" s="173">
        <f>P111</f>
        <v>2.5606384322494726</v>
      </c>
      <c r="S123" s="62" t="s">
        <v>47</v>
      </c>
    </row>
    <row r="124" spans="1:19">
      <c r="A124" s="62" t="s">
        <v>48</v>
      </c>
      <c r="B124" s="173" t="e">
        <f t="shared" ref="B124:G124" si="46">B62/(B87)</f>
        <v>#DIV/0!</v>
      </c>
      <c r="C124" s="173" t="e">
        <f t="shared" si="46"/>
        <v>#DIV/0!</v>
      </c>
      <c r="D124" s="173" t="e">
        <f t="shared" si="46"/>
        <v>#DIV/0!</v>
      </c>
      <c r="E124" s="173">
        <f t="shared" si="46"/>
        <v>2.2000000000000002</v>
      </c>
      <c r="F124" s="173">
        <f t="shared" si="46"/>
        <v>2.4210526315789473</v>
      </c>
      <c r="G124" s="173">
        <f t="shared" si="46"/>
        <v>2.6810344827586206</v>
      </c>
      <c r="H124" s="173"/>
      <c r="I124" s="173"/>
      <c r="J124" s="173"/>
      <c r="K124" s="173"/>
      <c r="N124" s="174">
        <f>L62/L71</f>
        <v>0</v>
      </c>
      <c r="O124" s="174">
        <f>M62/M71</f>
        <v>0</v>
      </c>
      <c r="P124" s="174">
        <f>N62/N71</f>
        <v>104.20066900286716</v>
      </c>
      <c r="Q124" s="174">
        <f>O62/O71</f>
        <v>116.58523784644794</v>
      </c>
      <c r="R124" s="174">
        <f>P62/P71</f>
        <v>126.13214885759801</v>
      </c>
      <c r="S124" s="167" t="s">
        <v>48</v>
      </c>
    </row>
    <row r="125" spans="1:19">
      <c r="A125" s="62" t="s">
        <v>49</v>
      </c>
      <c r="B125" s="170" t="e">
        <f t="shared" ref="B125:G125" si="47">B27/B87</f>
        <v>#DIV/0!</v>
      </c>
      <c r="C125" s="170" t="e">
        <f t="shared" si="47"/>
        <v>#DIV/0!</v>
      </c>
      <c r="D125" s="170" t="e">
        <f t="shared" si="47"/>
        <v>#DIV/0!</v>
      </c>
      <c r="E125" s="170">
        <f t="shared" si="47"/>
        <v>0.11481481481481481</v>
      </c>
      <c r="F125" s="170">
        <f t="shared" si="47"/>
        <v>0.1118421052631579</v>
      </c>
      <c r="G125" s="170">
        <f t="shared" si="47"/>
        <v>0.12643678160919541</v>
      </c>
      <c r="H125" s="170"/>
      <c r="I125" s="170"/>
      <c r="J125" s="170"/>
      <c r="K125" s="170"/>
      <c r="N125" s="171" t="e">
        <f>L27/L71</f>
        <v>#VALUE!</v>
      </c>
      <c r="O125" s="171" t="e">
        <f>M27/M71</f>
        <v>#VALUE!</v>
      </c>
      <c r="P125" s="171">
        <f>N27/N71</f>
        <v>29.544235971535667</v>
      </c>
      <c r="Q125" s="171">
        <f>O27/O71</f>
        <v>78.668228610323325</v>
      </c>
      <c r="R125" s="171">
        <f>P27/P71</f>
        <v>102.39535616290416</v>
      </c>
      <c r="S125" s="167" t="s">
        <v>49</v>
      </c>
    </row>
    <row r="127" spans="1:19">
      <c r="A127" s="94" t="s">
        <v>50</v>
      </c>
      <c r="S127" s="94" t="s">
        <v>50</v>
      </c>
    </row>
    <row r="128" spans="1:19">
      <c r="A128" t="s">
        <v>51</v>
      </c>
      <c r="B128" s="175" t="s">
        <v>52</v>
      </c>
      <c r="C128" s="176" t="e">
        <f>C8/B8-1</f>
        <v>#DIV/0!</v>
      </c>
      <c r="D128" s="176" t="e">
        <f>D8/C8-1</f>
        <v>#DIV/0!</v>
      </c>
      <c r="E128" s="176" t="e">
        <f>E8/D8-1</f>
        <v>#DIV/0!</v>
      </c>
      <c r="F128" s="176">
        <f>F8/E8-1</f>
        <v>0.18621096051856223</v>
      </c>
      <c r="G128" s="176">
        <f>G8/F8-1</f>
        <v>0.33830104321907606</v>
      </c>
      <c r="H128" s="176"/>
      <c r="I128" s="176"/>
      <c r="J128" s="176"/>
      <c r="K128" s="176"/>
      <c r="N128" s="176">
        <f>N8/F8-1</f>
        <v>0.10000000000000009</v>
      </c>
      <c r="O128" s="176">
        <f t="shared" ref="O128:R131" si="48">O8/N8-1</f>
        <v>0.12000000000000011</v>
      </c>
      <c r="P128" s="176">
        <f t="shared" si="48"/>
        <v>0.12000000000000011</v>
      </c>
      <c r="Q128" s="176">
        <f t="shared" si="48"/>
        <v>0.12000000000000011</v>
      </c>
      <c r="R128" s="176">
        <f t="shared" si="48"/>
        <v>8.0000000000000071E-2</v>
      </c>
      <c r="S128" t="s">
        <v>51</v>
      </c>
    </row>
    <row r="129" spans="1:19">
      <c r="A129" t="s">
        <v>141</v>
      </c>
      <c r="B129" s="175" t="str">
        <f>B128</f>
        <v>NA</v>
      </c>
      <c r="C129" s="176" t="e">
        <f>C10/B10-1</f>
        <v>#DIV/0!</v>
      </c>
      <c r="D129" s="176" t="e">
        <f>D10/C10-1</f>
        <v>#DIV/0!</v>
      </c>
      <c r="E129" s="176" t="e">
        <f>E10/D10-1</f>
        <v>#DIV/0!</v>
      </c>
      <c r="F129" s="176">
        <f>F10/E10-1</f>
        <v>0.2126315789473685</v>
      </c>
      <c r="G129" s="176">
        <f>G10/F10-1</f>
        <v>0.29166666666666674</v>
      </c>
      <c r="H129" s="176"/>
      <c r="I129" s="176"/>
      <c r="J129" s="176"/>
      <c r="K129" s="176"/>
      <c r="N129" s="176">
        <f>N9/F9-1</f>
        <v>-2.0170062630480166</v>
      </c>
      <c r="O129" s="176">
        <f t="shared" si="48"/>
        <v>0.13696969696969719</v>
      </c>
      <c r="P129" s="176">
        <f t="shared" si="48"/>
        <v>6.985074626865706E-2</v>
      </c>
      <c r="Q129" s="176">
        <f t="shared" si="48"/>
        <v>0.10250000000000004</v>
      </c>
      <c r="R129" s="176">
        <f t="shared" si="48"/>
        <v>8.0000000000000071E-2</v>
      </c>
      <c r="S129" t="s">
        <v>141</v>
      </c>
    </row>
    <row r="130" spans="1:19">
      <c r="A130" t="s">
        <v>282</v>
      </c>
      <c r="B130" s="175" t="str">
        <f>B129</f>
        <v>NA</v>
      </c>
      <c r="C130" s="176" t="e">
        <f>C18/B18-1</f>
        <v>#DIV/0!</v>
      </c>
      <c r="D130" s="176" t="e">
        <f>D18/C18-1</f>
        <v>#DIV/0!</v>
      </c>
      <c r="E130" s="176" t="e">
        <f>E18/D18-1</f>
        <v>#DIV/0!</v>
      </c>
      <c r="F130" s="176">
        <f>F18/E18-1</f>
        <v>0.21999999999999997</v>
      </c>
      <c r="G130" s="176">
        <f>G18/F18-1</f>
        <v>0.4098360655737705</v>
      </c>
      <c r="H130" s="176"/>
      <c r="I130" s="176"/>
      <c r="J130" s="176"/>
      <c r="K130" s="176"/>
      <c r="N130" s="176">
        <f>N10/F10-1</f>
        <v>0.30705208333333345</v>
      </c>
      <c r="O130" s="176">
        <f t="shared" si="48"/>
        <v>8.7058823529411855E-2</v>
      </c>
      <c r="P130" s="176">
        <f t="shared" si="48"/>
        <v>0.22181818181818191</v>
      </c>
      <c r="Q130" s="176">
        <f t="shared" si="48"/>
        <v>0.15111111111111142</v>
      </c>
      <c r="R130" s="176">
        <f t="shared" si="48"/>
        <v>7.9999999999999849E-2</v>
      </c>
      <c r="S130" t="s">
        <v>282</v>
      </c>
    </row>
    <row r="131" spans="1:19">
      <c r="A131" t="s">
        <v>236</v>
      </c>
      <c r="B131" s="175" t="str">
        <f>B130</f>
        <v>NA</v>
      </c>
      <c r="C131" s="176" t="e">
        <f>C62/B62-1</f>
        <v>#DIV/0!</v>
      </c>
      <c r="D131" s="176" t="e">
        <f>D62/C62-1</f>
        <v>#DIV/0!</v>
      </c>
      <c r="E131" s="176" t="e">
        <f>E62/D62-1</f>
        <v>#DIV/0!</v>
      </c>
      <c r="F131" s="176">
        <f>F62/E62-1</f>
        <v>0.23905723905723897</v>
      </c>
      <c r="G131" s="176">
        <f>G62/F62-1</f>
        <v>0.26766304347826098</v>
      </c>
      <c r="H131" s="176"/>
      <c r="I131" s="176"/>
      <c r="J131" s="176"/>
      <c r="K131" s="176"/>
      <c r="N131" s="176" t="e">
        <f>N11/F11-1</f>
        <v>#VALUE!</v>
      </c>
      <c r="O131" s="176" t="e">
        <f t="shared" si="48"/>
        <v>#VALUE!</v>
      </c>
      <c r="P131" s="176" t="e">
        <f t="shared" si="48"/>
        <v>#VALUE!</v>
      </c>
      <c r="Q131" s="176" t="e">
        <f t="shared" si="48"/>
        <v>#VALUE!</v>
      </c>
      <c r="R131" s="176" t="e">
        <f t="shared" si="48"/>
        <v>#VALUE!</v>
      </c>
      <c r="S131" t="s">
        <v>236</v>
      </c>
    </row>
    <row r="133" spans="1:19">
      <c r="I133" s="167" t="s">
        <v>53</v>
      </c>
    </row>
    <row r="134" spans="1:19">
      <c r="D134" s="167"/>
      <c r="I134" s="167" t="s">
        <v>54</v>
      </c>
    </row>
    <row r="135" spans="1:19">
      <c r="D135" s="167"/>
      <c r="I135" s="167" t="s">
        <v>55</v>
      </c>
    </row>
    <row r="136" spans="1:19">
      <c r="A136" s="167"/>
      <c r="B136" s="167"/>
      <c r="C136" s="167"/>
      <c r="D136" s="167"/>
      <c r="I136" s="167" t="s">
        <v>56</v>
      </c>
    </row>
    <row r="137" spans="1:19">
      <c r="A137" s="167"/>
      <c r="B137" s="167"/>
      <c r="C137" s="167"/>
      <c r="D137" s="167"/>
      <c r="I137" s="167" t="s">
        <v>106</v>
      </c>
    </row>
    <row r="138" spans="1:19">
      <c r="A138" s="167"/>
      <c r="B138" s="167"/>
      <c r="C138" s="167"/>
      <c r="D138" s="167"/>
      <c r="I138" s="167" t="s">
        <v>107</v>
      </c>
    </row>
    <row r="139" spans="1:19">
      <c r="A139" s="167"/>
      <c r="B139" s="167"/>
      <c r="C139" s="167"/>
      <c r="I139" s="167" t="s">
        <v>108</v>
      </c>
    </row>
  </sheetData>
  <phoneticPr fontId="9" type="noConversion"/>
  <printOptions headings="1" gridLines="1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7"/>
  <sheetViews>
    <sheetView workbookViewId="0"/>
  </sheetViews>
  <sheetFormatPr defaultColWidth="8.85546875" defaultRowHeight="12.75"/>
  <cols>
    <col min="1" max="1" width="26" style="3" customWidth="1"/>
    <col min="2" max="2" width="3.42578125" style="3" customWidth="1"/>
    <col min="3" max="3" width="27" style="3" customWidth="1"/>
    <col min="4" max="4" width="37" style="3" customWidth="1"/>
    <col min="5" max="5" width="5.85546875" style="3" customWidth="1"/>
    <col min="6" max="6" width="34.7109375" style="3" customWidth="1"/>
    <col min="7" max="16384" width="8.85546875" style="3"/>
  </cols>
  <sheetData>
    <row r="1" spans="1:10" ht="16.5" thickBot="1">
      <c r="A1" s="181" t="s">
        <v>204</v>
      </c>
      <c r="B1" s="182"/>
      <c r="C1" s="183" t="s">
        <v>203</v>
      </c>
      <c r="D1" s="184"/>
      <c r="E1" s="182"/>
      <c r="F1" s="185" t="s">
        <v>312</v>
      </c>
      <c r="G1" s="182"/>
      <c r="H1" s="182"/>
      <c r="I1" s="182"/>
      <c r="J1" s="182"/>
    </row>
    <row r="2" spans="1:10" ht="16.5" thickBot="1">
      <c r="A2" s="186" t="s">
        <v>265</v>
      </c>
      <c r="B2" s="182"/>
      <c r="C2" s="187" t="s">
        <v>57</v>
      </c>
      <c r="D2" s="188" t="s">
        <v>147</v>
      </c>
      <c r="E2" s="182"/>
      <c r="F2" s="189" t="s">
        <v>146</v>
      </c>
      <c r="G2" s="182"/>
      <c r="H2" s="182"/>
      <c r="I2" s="182"/>
      <c r="J2" s="182"/>
    </row>
    <row r="3" spans="1:10" ht="15.75">
      <c r="A3" s="190" t="s">
        <v>145</v>
      </c>
      <c r="B3" s="182"/>
      <c r="C3" s="191" t="s">
        <v>144</v>
      </c>
      <c r="D3" s="192" t="s">
        <v>143</v>
      </c>
      <c r="E3" s="182"/>
      <c r="F3" s="185" t="s">
        <v>142</v>
      </c>
      <c r="G3" s="182"/>
      <c r="H3" s="182"/>
      <c r="I3" s="182"/>
      <c r="J3" s="182"/>
    </row>
    <row r="4" spans="1:10" ht="15">
      <c r="A4" s="193" t="s">
        <v>141</v>
      </c>
      <c r="B4" s="182"/>
      <c r="C4" s="194" t="s">
        <v>140</v>
      </c>
      <c r="D4" s="195" t="s">
        <v>139</v>
      </c>
      <c r="E4" s="182"/>
      <c r="F4" s="196" t="s">
        <v>211</v>
      </c>
      <c r="G4" s="182"/>
      <c r="H4" s="182"/>
      <c r="I4" s="182"/>
      <c r="J4" s="182"/>
    </row>
    <row r="5" spans="1:10" ht="15">
      <c r="A5" s="193" t="s">
        <v>138</v>
      </c>
      <c r="B5" s="182"/>
      <c r="C5" s="194" t="s">
        <v>137</v>
      </c>
      <c r="D5" s="195" t="s">
        <v>136</v>
      </c>
      <c r="E5" s="182"/>
      <c r="F5" s="196" t="s">
        <v>135</v>
      </c>
      <c r="G5" s="182"/>
      <c r="H5" s="182"/>
      <c r="I5" s="182"/>
      <c r="J5" s="182"/>
    </row>
    <row r="6" spans="1:10" ht="15">
      <c r="A6" s="190" t="s">
        <v>134</v>
      </c>
      <c r="B6" s="182"/>
      <c r="C6" s="197" t="s">
        <v>133</v>
      </c>
      <c r="D6" s="198" t="s">
        <v>132</v>
      </c>
      <c r="E6" s="182"/>
      <c r="F6" s="199" t="s">
        <v>254</v>
      </c>
      <c r="G6" s="182"/>
      <c r="H6" s="182"/>
      <c r="I6" s="182"/>
      <c r="J6" s="182"/>
    </row>
    <row r="7" spans="1:10" ht="15.75" thickBot="1">
      <c r="A7" s="193" t="s">
        <v>131</v>
      </c>
      <c r="B7" s="182"/>
      <c r="C7" s="197" t="s">
        <v>167</v>
      </c>
      <c r="D7" s="198" t="s">
        <v>130</v>
      </c>
      <c r="E7" s="182"/>
      <c r="F7" s="199" t="s">
        <v>283</v>
      </c>
      <c r="G7" s="182"/>
      <c r="H7" s="182"/>
      <c r="I7" s="182"/>
      <c r="J7" s="182"/>
    </row>
    <row r="8" spans="1:10" ht="15.75">
      <c r="A8" s="200" t="s">
        <v>282</v>
      </c>
      <c r="B8" s="182"/>
      <c r="C8" s="201" t="s">
        <v>281</v>
      </c>
      <c r="D8" s="202" t="s">
        <v>280</v>
      </c>
      <c r="E8" s="182"/>
      <c r="F8" s="182"/>
      <c r="G8" s="182"/>
      <c r="H8" s="182"/>
      <c r="I8" s="182"/>
      <c r="J8" s="182"/>
    </row>
    <row r="9" spans="1:10" ht="15">
      <c r="A9" s="203" t="s">
        <v>415</v>
      </c>
      <c r="B9" s="182"/>
      <c r="C9" s="204" t="s">
        <v>278</v>
      </c>
      <c r="D9" s="203" t="s">
        <v>277</v>
      </c>
      <c r="E9" s="182"/>
      <c r="F9" s="182"/>
      <c r="G9" s="182"/>
      <c r="H9" s="182"/>
      <c r="I9" s="182"/>
      <c r="J9" s="182"/>
    </row>
    <row r="10" spans="1:10" ht="15">
      <c r="A10" s="193" t="s">
        <v>276</v>
      </c>
      <c r="B10" s="182"/>
      <c r="C10" s="204" t="s">
        <v>275</v>
      </c>
      <c r="D10" s="203" t="s">
        <v>274</v>
      </c>
      <c r="E10" s="182"/>
      <c r="F10" s="182" t="s">
        <v>273</v>
      </c>
      <c r="G10" s="182"/>
      <c r="H10" s="182"/>
      <c r="I10" s="182"/>
      <c r="J10" s="182"/>
    </row>
    <row r="11" spans="1:10" ht="15.75" thickBot="1">
      <c r="A11" s="193" t="s">
        <v>272</v>
      </c>
      <c r="B11" s="182"/>
      <c r="C11" s="205" t="s">
        <v>271</v>
      </c>
      <c r="D11" s="203" t="s">
        <v>270</v>
      </c>
      <c r="E11" s="182" t="s">
        <v>311</v>
      </c>
      <c r="F11" s="182"/>
      <c r="G11" s="182"/>
      <c r="H11" s="182"/>
      <c r="I11" s="182"/>
      <c r="J11" s="182"/>
    </row>
    <row r="12" spans="1:10" ht="16.5" thickBot="1">
      <c r="A12" s="200" t="s">
        <v>264</v>
      </c>
      <c r="B12" s="182"/>
      <c r="C12" s="206"/>
      <c r="D12" s="207" t="s">
        <v>263</v>
      </c>
      <c r="E12" s="182"/>
      <c r="F12" s="182"/>
      <c r="G12" s="182"/>
      <c r="H12" s="182"/>
      <c r="I12" s="182"/>
      <c r="J12" s="182"/>
    </row>
    <row r="13" spans="1:10" ht="15.75" thickBot="1">
      <c r="A13" s="193" t="s">
        <v>262</v>
      </c>
      <c r="B13" s="182"/>
      <c r="C13" s="206" t="s">
        <v>311</v>
      </c>
      <c r="D13" s="208" t="s">
        <v>311</v>
      </c>
      <c r="E13" s="182"/>
      <c r="F13" s="209" t="s">
        <v>261</v>
      </c>
      <c r="G13" s="182"/>
      <c r="H13" s="182"/>
      <c r="I13" s="182"/>
      <c r="J13" s="182"/>
    </row>
    <row r="14" spans="1:10" ht="16.5" thickBot="1">
      <c r="A14" s="210" t="s">
        <v>260</v>
      </c>
      <c r="B14" s="182"/>
      <c r="C14" s="206"/>
      <c r="D14" s="202" t="s">
        <v>416</v>
      </c>
      <c r="E14" s="182"/>
      <c r="F14" s="182"/>
      <c r="G14" s="182"/>
      <c r="H14" s="182"/>
      <c r="I14" s="182"/>
      <c r="J14" s="182"/>
    </row>
    <row r="15" spans="1:10" ht="12" customHeight="1">
      <c r="A15" s="211"/>
      <c r="B15" s="182"/>
      <c r="C15" s="206"/>
      <c r="D15" s="203" t="s">
        <v>333</v>
      </c>
      <c r="E15" s="182"/>
      <c r="F15" s="182"/>
      <c r="G15" s="182"/>
      <c r="H15" s="182"/>
      <c r="I15" s="182"/>
      <c r="J15" s="182"/>
    </row>
    <row r="16" spans="1:10" ht="15">
      <c r="A16" s="196" t="s">
        <v>269</v>
      </c>
      <c r="B16" s="182"/>
      <c r="C16" s="206"/>
      <c r="D16" s="203" t="s">
        <v>334</v>
      </c>
      <c r="E16" s="182" t="s">
        <v>311</v>
      </c>
      <c r="F16" s="182" t="s">
        <v>268</v>
      </c>
      <c r="G16" s="182"/>
      <c r="H16" s="182"/>
      <c r="I16" s="182"/>
      <c r="J16" s="182"/>
    </row>
    <row r="17" spans="1:10" ht="15">
      <c r="A17" s="211"/>
      <c r="B17" s="182"/>
      <c r="C17" s="206"/>
      <c r="D17" s="203" t="s">
        <v>335</v>
      </c>
      <c r="E17" s="182"/>
      <c r="F17" s="182" t="s">
        <v>311</v>
      </c>
      <c r="G17" s="182"/>
      <c r="H17" s="182"/>
      <c r="I17" s="182"/>
      <c r="J17" s="182"/>
    </row>
    <row r="18" spans="1:10" ht="15">
      <c r="A18" s="199" t="s">
        <v>267</v>
      </c>
      <c r="B18" s="182"/>
      <c r="C18" s="206"/>
      <c r="D18" s="203" t="s">
        <v>336</v>
      </c>
      <c r="E18" s="182"/>
      <c r="F18" s="212" t="s">
        <v>208</v>
      </c>
      <c r="G18" s="182"/>
      <c r="H18" s="182"/>
      <c r="I18" s="182"/>
      <c r="J18" s="182"/>
    </row>
    <row r="19" spans="1:10" ht="15.75" thickBot="1">
      <c r="A19" s="211"/>
      <c r="B19" s="182"/>
      <c r="C19" s="206"/>
      <c r="D19" s="207" t="s">
        <v>311</v>
      </c>
      <c r="E19" s="182"/>
      <c r="F19" s="213" t="s">
        <v>259</v>
      </c>
      <c r="G19" s="182"/>
      <c r="H19" s="182"/>
      <c r="I19" s="182"/>
      <c r="J19" s="182"/>
    </row>
    <row r="20" spans="1:10" ht="16.5" thickBot="1">
      <c r="A20" s="182"/>
      <c r="B20" s="182"/>
      <c r="C20" s="214" t="s">
        <v>258</v>
      </c>
      <c r="D20" s="215" t="s">
        <v>257</v>
      </c>
      <c r="E20" s="182"/>
      <c r="F20" s="216" t="s">
        <v>256</v>
      </c>
      <c r="G20" s="182"/>
      <c r="H20" s="182"/>
      <c r="I20" s="182"/>
      <c r="J20" s="182"/>
    </row>
    <row r="21" spans="1:10" ht="15">
      <c r="A21" s="182"/>
      <c r="B21" s="182"/>
      <c r="C21" s="182"/>
      <c r="D21" s="182"/>
      <c r="E21" s="182"/>
      <c r="F21" s="182"/>
      <c r="G21" s="182"/>
      <c r="H21" s="182"/>
      <c r="I21" s="182"/>
      <c r="J21" s="182"/>
    </row>
    <row r="22" spans="1:10" ht="15">
      <c r="A22" s="182"/>
      <c r="B22" s="182"/>
      <c r="C22" s="182"/>
      <c r="D22" s="182"/>
      <c r="E22" s="182"/>
      <c r="F22" s="182"/>
      <c r="G22" s="182"/>
      <c r="H22" s="182"/>
      <c r="I22" s="182"/>
      <c r="J22" s="182"/>
    </row>
    <row r="23" spans="1:10" ht="15">
      <c r="A23" s="182"/>
      <c r="B23" s="182"/>
      <c r="C23" s="182"/>
      <c r="D23" s="182"/>
      <c r="E23" s="182"/>
      <c r="F23" s="182"/>
      <c r="G23" s="182"/>
      <c r="H23" s="182"/>
      <c r="I23" s="182"/>
      <c r="J23" s="182"/>
    </row>
    <row r="24" spans="1:10" ht="15">
      <c r="A24" s="182"/>
      <c r="B24" s="182"/>
      <c r="C24" s="182"/>
      <c r="D24" s="182"/>
      <c r="E24" s="182"/>
      <c r="F24" s="182"/>
      <c r="G24" s="182"/>
      <c r="H24" s="182"/>
      <c r="I24" s="182"/>
      <c r="J24" s="182"/>
    </row>
    <row r="25" spans="1:10" ht="15">
      <c r="A25" s="182"/>
      <c r="B25" s="182"/>
      <c r="C25" s="182"/>
      <c r="D25" s="182"/>
      <c r="E25" s="182"/>
      <c r="F25" s="182"/>
      <c r="G25" s="182"/>
      <c r="H25" s="182"/>
      <c r="I25" s="182"/>
      <c r="J25" s="182"/>
    </row>
    <row r="26" spans="1:10" ht="15">
      <c r="A26" s="182"/>
      <c r="B26" s="182"/>
      <c r="C26" s="182"/>
      <c r="D26" s="182"/>
      <c r="E26" s="182"/>
      <c r="F26" s="182"/>
      <c r="G26" s="182"/>
      <c r="H26" s="182"/>
      <c r="I26" s="182"/>
      <c r="J26" s="182"/>
    </row>
    <row r="27" spans="1:10" ht="15">
      <c r="A27" s="182"/>
      <c r="B27" s="182"/>
      <c r="C27" s="182"/>
      <c r="D27" s="182"/>
      <c r="E27" s="182"/>
      <c r="F27" s="182"/>
      <c r="G27" s="182"/>
      <c r="H27" s="182"/>
      <c r="I27" s="182"/>
      <c r="J27" s="182"/>
    </row>
    <row r="28" spans="1:10" ht="15">
      <c r="A28" s="182"/>
      <c r="B28" s="182"/>
      <c r="C28" s="182"/>
      <c r="D28" s="182"/>
      <c r="E28" s="182"/>
      <c r="F28" s="182"/>
      <c r="G28" s="182"/>
      <c r="H28" s="182"/>
      <c r="I28" s="182"/>
      <c r="J28" s="182"/>
    </row>
    <row r="29" spans="1:10" ht="15">
      <c r="A29" s="182"/>
      <c r="B29" s="182"/>
      <c r="C29" s="182"/>
      <c r="D29" s="182"/>
      <c r="E29" s="182"/>
      <c r="F29" s="182"/>
      <c r="G29" s="182"/>
      <c r="H29" s="182"/>
      <c r="I29" s="182"/>
      <c r="J29" s="182"/>
    </row>
    <row r="30" spans="1:10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0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0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>
      <c r="A37" s="14"/>
      <c r="B37" s="14"/>
      <c r="C37" s="14"/>
      <c r="D37" s="14"/>
      <c r="E37" s="14"/>
      <c r="F37" s="14"/>
      <c r="G37" s="14"/>
      <c r="H37" s="14"/>
      <c r="I37" s="14"/>
      <c r="J37" s="14"/>
    </row>
  </sheetData>
  <phoneticPr fontId="9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workbookViewId="0"/>
  </sheetViews>
  <sheetFormatPr defaultColWidth="8.85546875" defaultRowHeight="12.75"/>
  <cols>
    <col min="1" max="1" width="16.7109375" style="3" customWidth="1"/>
    <col min="2" max="2" width="3.42578125" style="3" customWidth="1"/>
    <col min="3" max="3" width="18.42578125" style="3" customWidth="1"/>
    <col min="4" max="4" width="19.140625" style="3" customWidth="1"/>
    <col min="5" max="5" width="17.42578125" style="3" customWidth="1"/>
    <col min="6" max="16384" width="8.85546875" style="3"/>
  </cols>
  <sheetData>
    <row r="1" spans="1:18">
      <c r="A1" s="61" t="s">
        <v>255</v>
      </c>
      <c r="B1" s="60"/>
      <c r="D1" s="6"/>
      <c r="E1" s="6"/>
      <c r="F1" s="59" t="s">
        <v>254</v>
      </c>
      <c r="G1" s="59"/>
      <c r="H1" s="58" t="s">
        <v>253</v>
      </c>
      <c r="I1" s="57"/>
      <c r="J1" s="6"/>
      <c r="K1" s="6"/>
      <c r="L1" s="6"/>
      <c r="M1" s="4"/>
      <c r="N1" s="4"/>
      <c r="O1" s="4"/>
      <c r="P1" s="4"/>
      <c r="Q1" s="4"/>
      <c r="R1" s="4"/>
    </row>
    <row r="2" spans="1:18">
      <c r="A2" s="50" t="s">
        <v>252</v>
      </c>
      <c r="B2" s="5"/>
      <c r="C2" s="6"/>
      <c r="D2" s="6"/>
      <c r="E2" s="6"/>
      <c r="F2" s="6"/>
      <c r="G2" s="46" t="s">
        <v>251</v>
      </c>
      <c r="H2" s="56"/>
      <c r="I2" s="55"/>
      <c r="J2" s="14"/>
      <c r="K2" s="14"/>
      <c r="L2" s="14"/>
      <c r="M2" s="4"/>
      <c r="N2" s="4"/>
      <c r="O2" s="4"/>
      <c r="P2" s="4"/>
      <c r="Q2" s="4"/>
      <c r="R2" s="4"/>
    </row>
    <row r="3" spans="1:18" ht="13.5" thickBot="1">
      <c r="A3" s="45" t="s">
        <v>250</v>
      </c>
      <c r="B3" s="5"/>
      <c r="C3" s="6"/>
      <c r="D3" s="54" t="s">
        <v>249</v>
      </c>
      <c r="E3" s="54" t="s">
        <v>248</v>
      </c>
      <c r="F3" s="46" t="s">
        <v>105</v>
      </c>
      <c r="G3" s="6"/>
      <c r="H3" s="53"/>
      <c r="I3" s="52"/>
      <c r="J3" s="14"/>
      <c r="K3" s="14"/>
      <c r="L3" s="14"/>
      <c r="M3" s="4"/>
      <c r="N3" s="4"/>
      <c r="O3" s="4"/>
      <c r="P3" s="4"/>
      <c r="Q3" s="4"/>
      <c r="R3" s="4"/>
    </row>
    <row r="4" spans="1:18" ht="13.5" thickBot="1">
      <c r="A4" s="51" t="s">
        <v>104</v>
      </c>
      <c r="B4" s="5"/>
      <c r="C4" s="6"/>
      <c r="D4" s="6"/>
      <c r="E4" s="6"/>
      <c r="F4" s="6"/>
      <c r="G4" s="6"/>
      <c r="H4" s="14"/>
      <c r="I4" s="14"/>
      <c r="J4" s="6"/>
      <c r="K4" s="6"/>
      <c r="L4" s="6"/>
      <c r="M4" s="4"/>
      <c r="N4" s="4"/>
      <c r="O4" s="4"/>
      <c r="P4" s="4"/>
      <c r="Q4" s="4"/>
      <c r="R4" s="4"/>
    </row>
    <row r="5" spans="1:18" ht="13.5" thickBot="1">
      <c r="A5" s="50" t="s">
        <v>103</v>
      </c>
      <c r="B5" s="5"/>
      <c r="C5" s="49" t="s">
        <v>102</v>
      </c>
      <c r="D5" s="48" t="s">
        <v>101</v>
      </c>
      <c r="E5" s="47"/>
      <c r="F5" s="6"/>
      <c r="G5" s="46" t="s">
        <v>100</v>
      </c>
      <c r="H5" s="34"/>
      <c r="I5" s="6"/>
      <c r="J5" s="6"/>
      <c r="K5" s="6"/>
      <c r="L5" s="6"/>
      <c r="M5" s="4"/>
      <c r="N5" s="4"/>
      <c r="O5" s="4"/>
      <c r="P5" s="4"/>
      <c r="Q5" s="4"/>
      <c r="R5" s="4"/>
    </row>
    <row r="6" spans="1:18">
      <c r="A6" s="45" t="s">
        <v>99</v>
      </c>
      <c r="B6" s="5"/>
      <c r="C6" s="6"/>
      <c r="D6" s="44"/>
      <c r="E6" s="44"/>
      <c r="F6" s="6"/>
      <c r="G6" s="6"/>
      <c r="H6" s="43" t="s">
        <v>98</v>
      </c>
      <c r="I6" s="42"/>
      <c r="J6" s="6"/>
      <c r="K6" s="6"/>
      <c r="L6" s="6"/>
      <c r="M6" s="4"/>
      <c r="N6" s="4"/>
      <c r="O6" s="4"/>
      <c r="P6" s="4"/>
      <c r="Q6" s="4"/>
      <c r="R6" s="4"/>
    </row>
    <row r="7" spans="1:18">
      <c r="A7" s="41" t="s">
        <v>218</v>
      </c>
      <c r="B7" s="5"/>
      <c r="C7" s="6"/>
      <c r="D7" s="35"/>
      <c r="E7" s="35"/>
      <c r="F7" s="6"/>
      <c r="G7" s="6"/>
      <c r="H7" s="40"/>
      <c r="I7" s="39"/>
      <c r="J7" s="6"/>
      <c r="K7" s="6"/>
      <c r="L7" s="6"/>
      <c r="M7" s="4"/>
      <c r="N7" s="4"/>
      <c r="O7" s="4"/>
      <c r="P7" s="4"/>
      <c r="Q7" s="4"/>
      <c r="R7" s="4"/>
    </row>
    <row r="8" spans="1:18" ht="13.5" thickBot="1">
      <c r="A8" s="38"/>
      <c r="B8" s="38"/>
      <c r="C8" s="6"/>
      <c r="D8" s="35"/>
      <c r="E8" s="35"/>
      <c r="F8" s="6"/>
      <c r="G8" s="6"/>
      <c r="H8" s="37"/>
      <c r="I8" s="36"/>
      <c r="J8" s="6"/>
      <c r="K8" s="6"/>
      <c r="L8" s="6"/>
      <c r="M8" s="4"/>
      <c r="N8" s="4"/>
      <c r="O8" s="4"/>
      <c r="P8" s="4"/>
      <c r="Q8" s="4"/>
      <c r="R8" s="4"/>
    </row>
    <row r="9" spans="1:18" ht="13.5" thickBot="1">
      <c r="A9" s="5"/>
      <c r="B9" s="5"/>
      <c r="C9" s="6"/>
      <c r="D9" s="35"/>
      <c r="E9" s="35"/>
      <c r="F9" s="6"/>
      <c r="G9" s="6"/>
      <c r="H9" s="6"/>
      <c r="I9" s="34"/>
      <c r="J9" s="6"/>
      <c r="K9" s="6"/>
      <c r="L9" s="6"/>
      <c r="M9" s="4"/>
      <c r="N9" s="4"/>
      <c r="O9" s="4"/>
      <c r="P9" s="4"/>
      <c r="Q9" s="4"/>
      <c r="R9" s="4"/>
    </row>
    <row r="10" spans="1:18" ht="13.5" thickBot="1">
      <c r="A10" s="5"/>
      <c r="B10" s="5"/>
      <c r="C10" s="6"/>
      <c r="D10" s="33"/>
      <c r="E10" s="33"/>
      <c r="F10" s="6"/>
      <c r="G10" s="32" t="s">
        <v>217</v>
      </c>
      <c r="H10" s="31" t="s">
        <v>216</v>
      </c>
      <c r="I10" s="31" t="s">
        <v>215</v>
      </c>
      <c r="J10" s="31" t="s">
        <v>214</v>
      </c>
      <c r="K10" s="31" t="s">
        <v>213</v>
      </c>
      <c r="L10" s="30" t="s">
        <v>212</v>
      </c>
      <c r="M10" s="4"/>
      <c r="N10" s="4"/>
      <c r="O10" s="4"/>
      <c r="P10" s="4"/>
      <c r="Q10" s="4"/>
      <c r="R10" s="4"/>
    </row>
    <row r="11" spans="1:18">
      <c r="A11" s="5"/>
      <c r="B11" s="5"/>
      <c r="C11" s="6"/>
      <c r="D11" s="6"/>
      <c r="E11" s="6"/>
      <c r="F11" s="6"/>
      <c r="G11" s="29"/>
      <c r="H11" s="28"/>
      <c r="I11" s="28"/>
      <c r="J11" s="28"/>
      <c r="K11" s="28"/>
      <c r="L11" s="27"/>
      <c r="M11" s="4"/>
      <c r="N11" s="4"/>
      <c r="O11" s="4"/>
      <c r="P11" s="4"/>
      <c r="Q11" s="4"/>
      <c r="R11" s="4"/>
    </row>
    <row r="12" spans="1:18">
      <c r="A12" s="5"/>
      <c r="B12" s="5"/>
      <c r="C12" s="6"/>
      <c r="D12" s="6"/>
      <c r="E12" s="6"/>
      <c r="F12" s="6"/>
      <c r="G12" s="29" t="s">
        <v>311</v>
      </c>
      <c r="H12" s="28"/>
      <c r="I12" s="28"/>
      <c r="J12" s="28"/>
      <c r="K12" s="28"/>
      <c r="L12" s="27"/>
      <c r="M12" s="4"/>
      <c r="N12" s="4"/>
      <c r="O12" s="4"/>
      <c r="P12" s="4"/>
      <c r="Q12" s="4"/>
      <c r="R12" s="4"/>
    </row>
    <row r="13" spans="1:18">
      <c r="A13" s="5"/>
      <c r="B13" s="5"/>
      <c r="C13" s="6"/>
      <c r="D13" s="6"/>
      <c r="E13" s="6"/>
      <c r="F13" s="6"/>
      <c r="G13" s="29"/>
      <c r="H13" s="28"/>
      <c r="I13" s="28"/>
      <c r="J13" s="28"/>
      <c r="K13" s="28"/>
      <c r="L13" s="27"/>
      <c r="M13" s="4"/>
      <c r="N13" s="4"/>
      <c r="O13" s="4"/>
      <c r="P13" s="4"/>
      <c r="Q13" s="4"/>
      <c r="R13" s="4"/>
    </row>
    <row r="14" spans="1:18" ht="13.5" thickBot="1">
      <c r="A14" s="5"/>
      <c r="B14" s="5"/>
      <c r="C14" s="6"/>
      <c r="D14" s="6"/>
      <c r="E14" s="6"/>
      <c r="F14" s="6"/>
      <c r="G14" s="26"/>
      <c r="H14" s="25"/>
      <c r="I14" s="25"/>
      <c r="J14" s="25"/>
      <c r="K14" s="25"/>
      <c r="L14" s="24"/>
      <c r="M14" s="4"/>
      <c r="N14" s="4"/>
      <c r="O14" s="4"/>
      <c r="P14" s="4"/>
      <c r="Q14" s="4"/>
      <c r="R14" s="4"/>
    </row>
    <row r="15" spans="1:18">
      <c r="A15" s="5"/>
      <c r="B15" s="5"/>
      <c r="C15" s="23" t="s">
        <v>211</v>
      </c>
      <c r="D15" s="22" t="s">
        <v>210</v>
      </c>
      <c r="E15" s="21"/>
      <c r="F15" s="6"/>
      <c r="G15" s="6"/>
      <c r="H15" s="6"/>
      <c r="I15" s="6"/>
      <c r="J15" s="6"/>
      <c r="K15" s="6"/>
      <c r="L15" s="6"/>
      <c r="M15" s="4"/>
      <c r="N15" s="4"/>
      <c r="O15" s="4"/>
      <c r="P15" s="4"/>
      <c r="Q15" s="4"/>
      <c r="R15" s="4"/>
    </row>
    <row r="16" spans="1:18">
      <c r="A16" s="14"/>
      <c r="B16" s="14"/>
      <c r="C16" s="6"/>
      <c r="D16" s="20"/>
      <c r="E16" s="19"/>
      <c r="F16" s="6"/>
      <c r="G16" s="6"/>
      <c r="H16" s="6"/>
      <c r="I16" s="6"/>
      <c r="J16" s="6"/>
      <c r="K16" s="6"/>
      <c r="L16" s="6"/>
      <c r="M16" s="4"/>
      <c r="N16" s="4"/>
      <c r="O16" s="4"/>
      <c r="P16" s="4"/>
      <c r="Q16" s="4"/>
      <c r="R16" s="4"/>
    </row>
    <row r="17" spans="1:18">
      <c r="A17" s="14"/>
      <c r="B17" s="14"/>
      <c r="C17" s="6"/>
      <c r="D17" s="20"/>
      <c r="E17" s="19"/>
      <c r="F17" s="6"/>
      <c r="G17" s="6"/>
      <c r="H17" s="6"/>
      <c r="I17" s="6"/>
      <c r="J17" s="6"/>
      <c r="K17" s="6"/>
      <c r="L17" s="6"/>
      <c r="M17" s="4"/>
      <c r="N17" s="4"/>
      <c r="O17" s="4"/>
      <c r="P17" s="4"/>
      <c r="Q17" s="4"/>
      <c r="R17" s="4"/>
    </row>
    <row r="18" spans="1:18">
      <c r="A18" s="14"/>
      <c r="B18" s="14"/>
      <c r="C18" s="6"/>
      <c r="D18" s="20"/>
      <c r="E18" s="19"/>
      <c r="F18" s="6"/>
      <c r="G18" s="6"/>
      <c r="H18" s="6"/>
      <c r="I18" s="6"/>
      <c r="J18" s="6"/>
      <c r="K18" s="6"/>
      <c r="L18" s="6"/>
      <c r="M18" s="4"/>
      <c r="N18" s="4"/>
      <c r="O18" s="4"/>
      <c r="P18" s="4"/>
      <c r="Q18" s="4"/>
      <c r="R18" s="4"/>
    </row>
    <row r="19" spans="1:18">
      <c r="A19" s="14"/>
      <c r="B19" s="14"/>
      <c r="C19" s="6"/>
      <c r="D19" s="20"/>
      <c r="E19" s="19"/>
      <c r="F19" s="6"/>
      <c r="G19" s="6"/>
      <c r="H19" s="6"/>
      <c r="I19" s="6"/>
      <c r="J19" s="6"/>
      <c r="K19" s="6"/>
      <c r="L19" s="6"/>
      <c r="M19" s="4"/>
      <c r="N19" s="4"/>
      <c r="O19" s="4"/>
      <c r="P19" s="4"/>
      <c r="Q19" s="4"/>
      <c r="R19" s="4"/>
    </row>
    <row r="20" spans="1:18" ht="13.5" thickBot="1">
      <c r="A20" s="14"/>
      <c r="B20" s="14"/>
      <c r="C20" s="6"/>
      <c r="D20" s="18"/>
      <c r="E20" s="17"/>
      <c r="F20" s="6"/>
      <c r="G20" s="6"/>
      <c r="H20" s="6"/>
      <c r="I20" s="6"/>
      <c r="J20" s="6"/>
      <c r="K20" s="6"/>
      <c r="L20" s="6"/>
      <c r="M20" s="4"/>
      <c r="N20" s="4"/>
      <c r="O20" s="4"/>
      <c r="P20" s="4"/>
      <c r="Q20" s="4"/>
      <c r="R20" s="4"/>
    </row>
    <row r="21" spans="1:18">
      <c r="A21" s="4"/>
      <c r="B21" s="14"/>
      <c r="C21" s="6"/>
      <c r="D21" s="6"/>
      <c r="E21" s="6"/>
      <c r="F21" s="6"/>
      <c r="G21" s="16" t="s">
        <v>209</v>
      </c>
      <c r="H21" s="15"/>
      <c r="I21" s="6"/>
      <c r="J21" s="6"/>
      <c r="K21" s="6"/>
      <c r="L21" s="6"/>
      <c r="M21" s="4"/>
      <c r="N21" s="4"/>
      <c r="O21" s="4"/>
      <c r="P21" s="4"/>
      <c r="Q21" s="4"/>
      <c r="R21" s="4"/>
    </row>
    <row r="22" spans="1:18">
      <c r="A22" s="4"/>
      <c r="B22" s="14"/>
      <c r="C22" s="6"/>
      <c r="D22" s="6"/>
      <c r="E22" s="6"/>
      <c r="F22" s="6"/>
      <c r="G22" s="10"/>
      <c r="H22" s="9"/>
      <c r="I22" s="6"/>
      <c r="J22" s="6"/>
      <c r="K22" s="6"/>
      <c r="L22" s="6"/>
      <c r="M22" s="4"/>
      <c r="N22" s="4"/>
      <c r="O22" s="4"/>
      <c r="P22" s="4"/>
      <c r="Q22" s="4"/>
      <c r="R22" s="4"/>
    </row>
    <row r="23" spans="1:18">
      <c r="A23" s="4"/>
      <c r="C23" s="6"/>
      <c r="D23" s="6"/>
      <c r="E23" s="6"/>
      <c r="F23" s="6"/>
      <c r="G23" s="10"/>
      <c r="H23" s="9"/>
      <c r="I23" s="6"/>
      <c r="J23" s="6"/>
      <c r="K23" s="6"/>
      <c r="L23" s="6"/>
      <c r="M23" s="4"/>
      <c r="N23" s="4"/>
      <c r="O23" s="4"/>
      <c r="P23" s="4"/>
      <c r="Q23" s="4"/>
      <c r="R23" s="4"/>
    </row>
    <row r="24" spans="1:18" ht="13.5" thickBot="1">
      <c r="A24" s="4"/>
      <c r="B24" s="14"/>
      <c r="C24" s="6"/>
      <c r="D24" s="6"/>
      <c r="E24" s="6"/>
      <c r="F24" s="6"/>
      <c r="G24" s="8"/>
      <c r="H24" s="7"/>
      <c r="I24" s="6"/>
      <c r="J24" s="6"/>
      <c r="K24" s="6"/>
      <c r="L24" s="6"/>
      <c r="M24" s="4"/>
      <c r="N24" s="4"/>
      <c r="O24" s="4"/>
      <c r="P24" s="4"/>
      <c r="Q24" s="4"/>
      <c r="R24" s="4"/>
    </row>
    <row r="25" spans="1:18">
      <c r="A25" s="4"/>
      <c r="B25" s="14"/>
      <c r="C25" s="13" t="s">
        <v>208</v>
      </c>
      <c r="D25" s="12" t="s">
        <v>309</v>
      </c>
      <c r="E25" s="11"/>
      <c r="F25" s="6"/>
      <c r="G25" s="6"/>
      <c r="H25" s="6"/>
      <c r="I25" s="6"/>
      <c r="J25" s="6"/>
      <c r="K25" s="6"/>
      <c r="L25" s="6"/>
      <c r="M25" s="4"/>
      <c r="N25" s="4"/>
      <c r="O25" s="4"/>
      <c r="P25" s="4"/>
      <c r="Q25" s="4"/>
      <c r="R25" s="4"/>
    </row>
    <row r="26" spans="1:18">
      <c r="A26" s="4"/>
      <c r="C26" s="6"/>
      <c r="D26" s="10"/>
      <c r="E26" s="9"/>
      <c r="F26" s="6"/>
      <c r="G26" s="6"/>
      <c r="H26" s="6"/>
      <c r="I26" s="6"/>
      <c r="J26" s="6"/>
      <c r="K26" s="6"/>
      <c r="L26" s="6"/>
      <c r="M26" s="4"/>
      <c r="N26" s="4"/>
      <c r="O26" s="4"/>
      <c r="P26" s="4"/>
      <c r="Q26" s="4"/>
      <c r="R26" s="4"/>
    </row>
    <row r="27" spans="1:18">
      <c r="A27" s="5"/>
      <c r="B27" s="6"/>
      <c r="C27" s="6"/>
      <c r="D27" s="10"/>
      <c r="E27" s="9"/>
      <c r="F27" s="6"/>
      <c r="G27" s="6"/>
      <c r="H27" s="6"/>
      <c r="I27" s="6"/>
      <c r="J27" s="6"/>
      <c r="K27" s="6"/>
      <c r="L27" s="6"/>
      <c r="M27" s="4"/>
      <c r="N27" s="4"/>
      <c r="O27" s="4"/>
      <c r="P27" s="4"/>
      <c r="Q27" s="4"/>
      <c r="R27" s="4"/>
    </row>
    <row r="28" spans="1:18" ht="13.5" thickBot="1">
      <c r="A28" s="6"/>
      <c r="B28" s="6"/>
      <c r="C28" s="6"/>
      <c r="D28" s="8"/>
      <c r="E28" s="7"/>
      <c r="F28" s="6"/>
      <c r="G28" s="6"/>
      <c r="H28" s="6"/>
      <c r="I28" s="6"/>
      <c r="J28" s="6"/>
      <c r="K28" s="6"/>
      <c r="L28" s="6"/>
      <c r="M28" s="4"/>
      <c r="N28" s="4"/>
      <c r="O28" s="4"/>
      <c r="P28" s="4"/>
      <c r="Q28" s="4"/>
      <c r="R28" s="4"/>
    </row>
    <row r="29" spans="1:18" ht="13.5" thickBo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4"/>
      <c r="N29" s="4"/>
      <c r="O29" s="4"/>
      <c r="P29" s="4"/>
      <c r="Q29" s="4"/>
      <c r="R29" s="4"/>
    </row>
    <row r="30" spans="1:18">
      <c r="A30" s="6"/>
      <c r="B30" s="6"/>
      <c r="C30" s="6"/>
      <c r="D30" s="12" t="s">
        <v>168</v>
      </c>
      <c r="E30" s="11"/>
      <c r="F30" s="6"/>
      <c r="G30" s="6"/>
      <c r="H30" s="6"/>
      <c r="I30" s="6"/>
      <c r="J30" s="6"/>
      <c r="K30" s="6"/>
      <c r="L30" s="6"/>
      <c r="M30" s="4"/>
      <c r="N30" s="4"/>
      <c r="O30" s="4"/>
      <c r="P30" s="4"/>
      <c r="Q30" s="4"/>
      <c r="R30" s="4"/>
    </row>
    <row r="31" spans="1:18">
      <c r="A31" s="6"/>
      <c r="B31" s="6"/>
      <c r="C31" s="6"/>
      <c r="D31" s="10"/>
      <c r="E31" s="9"/>
      <c r="F31" s="6"/>
      <c r="G31" s="6"/>
      <c r="H31" s="6"/>
      <c r="I31" s="6"/>
      <c r="J31" s="6"/>
      <c r="K31" s="6"/>
      <c r="L31" s="6"/>
      <c r="M31" s="4"/>
      <c r="N31" s="4"/>
      <c r="O31" s="4"/>
      <c r="P31" s="4"/>
      <c r="Q31" s="4"/>
      <c r="R31" s="4"/>
    </row>
    <row r="32" spans="1:18">
      <c r="A32" s="6"/>
      <c r="B32" s="6"/>
      <c r="C32" s="6"/>
      <c r="D32" s="10"/>
      <c r="E32" s="9"/>
      <c r="F32" s="6"/>
      <c r="G32" s="6"/>
      <c r="H32" s="6"/>
      <c r="I32" s="6"/>
      <c r="J32" s="6"/>
      <c r="K32" s="6"/>
      <c r="L32" s="6"/>
      <c r="M32" s="4"/>
      <c r="N32" s="4"/>
      <c r="O32" s="4"/>
      <c r="P32" s="4"/>
      <c r="Q32" s="4"/>
      <c r="R32" s="4"/>
    </row>
    <row r="33" spans="1:18" ht="13.5" thickBot="1">
      <c r="A33" s="6"/>
      <c r="B33" s="6"/>
      <c r="C33" s="6"/>
      <c r="D33" s="8"/>
      <c r="E33" s="7"/>
      <c r="F33" s="6"/>
      <c r="G33" s="6"/>
      <c r="H33" s="6"/>
      <c r="I33" s="6"/>
      <c r="J33" s="6"/>
      <c r="K33" s="6"/>
      <c r="L33" s="6"/>
      <c r="M33" s="4"/>
      <c r="N33" s="4"/>
      <c r="O33" s="4"/>
      <c r="P33" s="4"/>
      <c r="Q33" s="4"/>
      <c r="R33" s="4"/>
    </row>
    <row r="34" spans="1:18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4"/>
      <c r="N34" s="4"/>
      <c r="O34" s="4"/>
      <c r="P34" s="4"/>
      <c r="Q34" s="4"/>
      <c r="R34" s="4"/>
    </row>
    <row r="35" spans="1:18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</sheetData>
  <phoneticPr fontId="9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N147"/>
  <sheetViews>
    <sheetView tabSelected="1" topLeftCell="A72" zoomScale="60" zoomScaleNormal="60" zoomScalePageLayoutView="125" workbookViewId="0"/>
  </sheetViews>
  <sheetFormatPr defaultColWidth="8.85546875" defaultRowHeight="12.75"/>
  <cols>
    <col min="1" max="1" width="46.85546875" style="3" customWidth="1"/>
    <col min="2" max="2" width="16" style="3" customWidth="1"/>
    <col min="3" max="3" width="13" style="3" customWidth="1"/>
    <col min="4" max="4" width="11.42578125" style="3" customWidth="1"/>
    <col min="5" max="5" width="11.140625" style="3" customWidth="1"/>
    <col min="6" max="6" width="11.7109375" style="3" customWidth="1"/>
    <col min="7" max="7" width="11.42578125" style="3" customWidth="1"/>
    <col min="8" max="8" width="18.28515625" style="3" customWidth="1"/>
    <col min="9" max="9" width="22.42578125" style="3" customWidth="1"/>
    <col min="10" max="10" width="13.28515625" style="3" customWidth="1"/>
    <col min="11" max="11" width="15.28515625" style="3" customWidth="1"/>
    <col min="12" max="12" width="13.85546875" style="3" customWidth="1"/>
    <col min="13" max="13" width="16.140625" style="3" customWidth="1"/>
    <col min="14" max="16384" width="8.85546875" style="3"/>
  </cols>
  <sheetData>
    <row r="1" spans="1:10" ht="18">
      <c r="A1" s="578" t="s">
        <v>21</v>
      </c>
    </row>
    <row r="2" spans="1:10" s="332" customFormat="1" ht="15.75">
      <c r="A2" s="535" t="s">
        <v>494</v>
      </c>
      <c r="B2" s="535"/>
      <c r="C2" s="596" t="s">
        <v>570</v>
      </c>
      <c r="D2" s="596"/>
      <c r="E2" s="596"/>
      <c r="F2" s="596"/>
      <c r="G2" s="534"/>
      <c r="H2" s="62"/>
      <c r="I2" s="62"/>
      <c r="J2" s="534"/>
    </row>
    <row r="3" spans="1:10" s="332" customFormat="1" ht="15.75">
      <c r="A3" s="535" t="s">
        <v>339</v>
      </c>
      <c r="B3" s="535"/>
      <c r="C3" s="534"/>
      <c r="D3" s="534"/>
      <c r="E3" s="534"/>
      <c r="F3" s="534"/>
      <c r="G3" s="534"/>
      <c r="H3" s="62"/>
      <c r="I3" s="62"/>
      <c r="J3" s="534"/>
    </row>
    <row r="4" spans="1:10" s="332" customFormat="1" ht="15.75">
      <c r="A4" s="536" t="s">
        <v>174</v>
      </c>
      <c r="B4" s="537">
        <v>0</v>
      </c>
      <c r="C4" s="533">
        <v>1</v>
      </c>
      <c r="D4" s="533">
        <v>2</v>
      </c>
      <c r="E4" s="533">
        <v>3</v>
      </c>
      <c r="F4" s="533">
        <v>4</v>
      </c>
      <c r="G4" s="533">
        <v>5</v>
      </c>
      <c r="H4" s="62"/>
      <c r="I4" s="62"/>
      <c r="J4" s="534"/>
    </row>
    <row r="5" spans="1:10" s="332" customFormat="1" ht="15.75">
      <c r="A5" s="538" t="s">
        <v>116</v>
      </c>
      <c r="B5" s="539">
        <v>2003</v>
      </c>
      <c r="C5" s="535">
        <v>2004</v>
      </c>
      <c r="D5" s="535">
        <v>2005</v>
      </c>
      <c r="E5" s="535">
        <v>2006</v>
      </c>
      <c r="F5" s="535">
        <v>2007</v>
      </c>
      <c r="G5" s="535">
        <v>2008</v>
      </c>
      <c r="H5" s="62"/>
      <c r="I5" s="62"/>
      <c r="J5" s="534"/>
    </row>
    <row r="6" spans="1:10" s="332" customFormat="1" ht="15.75">
      <c r="A6" s="534" t="s">
        <v>187</v>
      </c>
      <c r="B6" s="540"/>
      <c r="C6" s="542">
        <v>115</v>
      </c>
      <c r="D6" s="542">
        <v>138</v>
      </c>
      <c r="E6" s="542">
        <v>165</v>
      </c>
      <c r="F6" s="542">
        <v>199</v>
      </c>
      <c r="G6" s="542">
        <v>238</v>
      </c>
      <c r="H6" s="167" t="s">
        <v>572</v>
      </c>
      <c r="I6" s="62"/>
      <c r="J6" s="534"/>
    </row>
    <row r="7" spans="1:10" s="332" customFormat="1" ht="15.75">
      <c r="A7" s="534" t="s">
        <v>495</v>
      </c>
      <c r="B7" s="540"/>
      <c r="C7" s="543">
        <v>0.35</v>
      </c>
      <c r="D7" s="543">
        <v>0.35</v>
      </c>
      <c r="E7" s="543">
        <v>0.35</v>
      </c>
      <c r="F7" s="543">
        <v>0.35</v>
      </c>
      <c r="G7" s="543">
        <v>0.35</v>
      </c>
      <c r="H7" s="167" t="s">
        <v>572</v>
      </c>
      <c r="I7" s="62"/>
      <c r="J7" s="534"/>
    </row>
    <row r="8" spans="1:10" s="332" customFormat="1" ht="15.75">
      <c r="A8" s="534" t="s">
        <v>182</v>
      </c>
      <c r="B8" s="544"/>
      <c r="C8" s="542">
        <v>15</v>
      </c>
      <c r="D8" s="542">
        <v>16</v>
      </c>
      <c r="E8" s="542">
        <v>16</v>
      </c>
      <c r="F8" s="542">
        <v>17</v>
      </c>
      <c r="G8" s="542">
        <v>17</v>
      </c>
      <c r="H8" s="318" t="s">
        <v>659</v>
      </c>
      <c r="I8" s="62"/>
      <c r="J8" s="534"/>
    </row>
    <row r="9" spans="1:10" s="332" customFormat="1" ht="15">
      <c r="A9" s="534" t="s">
        <v>27</v>
      </c>
      <c r="B9" s="542">
        <v>481</v>
      </c>
      <c r="C9" s="542">
        <v>633.35879999999997</v>
      </c>
      <c r="D9" s="542">
        <v>760.03056000000015</v>
      </c>
      <c r="E9" s="542">
        <v>912.03667199999995</v>
      </c>
      <c r="F9" s="542">
        <v>1094.4440064</v>
      </c>
      <c r="G9" s="542">
        <v>1313.3328076800001</v>
      </c>
      <c r="H9" s="597" t="s">
        <v>22</v>
      </c>
      <c r="I9" s="597"/>
      <c r="J9" s="597"/>
    </row>
    <row r="10" spans="1:10" s="332" customFormat="1" ht="15">
      <c r="A10" s="534" t="s">
        <v>497</v>
      </c>
      <c r="B10" s="546"/>
      <c r="C10" s="542">
        <v>3</v>
      </c>
      <c r="D10" s="542">
        <v>3</v>
      </c>
      <c r="E10" s="542">
        <v>3</v>
      </c>
      <c r="F10" s="542">
        <v>3</v>
      </c>
      <c r="G10" s="542">
        <v>2</v>
      </c>
      <c r="H10" s="597" t="s">
        <v>573</v>
      </c>
      <c r="I10" s="597"/>
      <c r="J10" s="62"/>
    </row>
    <row r="11" spans="1:10" s="332" customFormat="1" ht="15">
      <c r="A11" s="534" t="s">
        <v>498</v>
      </c>
      <c r="B11" s="545"/>
      <c r="C11" s="541"/>
      <c r="D11" s="541"/>
      <c r="E11" s="541"/>
      <c r="F11" s="541"/>
      <c r="G11" s="543">
        <v>0.04</v>
      </c>
      <c r="H11" s="167" t="s">
        <v>574</v>
      </c>
      <c r="I11" s="62"/>
      <c r="J11" s="62"/>
    </row>
    <row r="12" spans="1:10" s="332" customFormat="1" ht="15">
      <c r="A12" s="534" t="s">
        <v>499</v>
      </c>
      <c r="B12" s="543">
        <v>0.108</v>
      </c>
      <c r="C12" s="547"/>
      <c r="D12" s="547"/>
      <c r="E12" s="547"/>
      <c r="F12" s="547"/>
      <c r="G12" s="547"/>
      <c r="H12" s="597" t="s">
        <v>575</v>
      </c>
      <c r="I12" s="597"/>
      <c r="J12" s="62"/>
    </row>
    <row r="13" spans="1:10" s="332" customFormat="1" ht="15">
      <c r="A13" s="534" t="s">
        <v>500</v>
      </c>
      <c r="B13" s="548">
        <v>57</v>
      </c>
      <c r="C13" s="534"/>
      <c r="D13" s="534"/>
      <c r="E13" s="534"/>
      <c r="F13" s="534"/>
      <c r="G13" s="534"/>
      <c r="H13" s="597" t="s">
        <v>576</v>
      </c>
      <c r="I13" s="597"/>
      <c r="J13" s="62"/>
    </row>
    <row r="14" spans="1:10" s="332" customFormat="1" ht="15">
      <c r="A14" s="534" t="s">
        <v>501</v>
      </c>
      <c r="B14" s="549">
        <v>10</v>
      </c>
      <c r="C14" s="534"/>
      <c r="D14" s="534"/>
      <c r="E14" s="534"/>
      <c r="F14" s="534"/>
      <c r="G14" s="534"/>
      <c r="H14" s="597" t="s">
        <v>590</v>
      </c>
      <c r="I14" s="597"/>
      <c r="J14" s="62"/>
    </row>
    <row r="15" spans="1:10" s="332" customFormat="1" ht="15">
      <c r="A15" s="534" t="s">
        <v>28</v>
      </c>
      <c r="B15" s="549">
        <v>0</v>
      </c>
      <c r="C15" s="534"/>
      <c r="D15" s="534"/>
      <c r="E15" s="534"/>
      <c r="F15" s="534"/>
      <c r="G15" s="534"/>
      <c r="H15" s="597" t="s">
        <v>571</v>
      </c>
      <c r="I15" s="597"/>
      <c r="J15" s="62"/>
    </row>
    <row r="16" spans="1:10" s="332" customFormat="1" ht="15">
      <c r="A16" s="534"/>
      <c r="B16" s="534"/>
      <c r="C16" s="550"/>
      <c r="D16" s="550"/>
      <c r="E16" s="550"/>
      <c r="F16" s="550"/>
      <c r="G16" s="550"/>
      <c r="H16" s="62"/>
      <c r="I16" s="62"/>
      <c r="J16" s="62"/>
    </row>
    <row r="17" spans="1:10" s="332" customFormat="1" ht="15.75">
      <c r="A17" s="536" t="s">
        <v>174</v>
      </c>
      <c r="B17" s="533">
        <v>0</v>
      </c>
      <c r="C17" s="533">
        <v>1</v>
      </c>
      <c r="D17" s="533">
        <v>2</v>
      </c>
      <c r="E17" s="533">
        <v>3</v>
      </c>
      <c r="F17" s="533">
        <v>4</v>
      </c>
      <c r="G17" s="533">
        <v>5</v>
      </c>
      <c r="H17" s="533"/>
      <c r="I17" s="62"/>
      <c r="J17" s="62"/>
    </row>
    <row r="18" spans="1:10" s="332" customFormat="1" ht="15.75">
      <c r="A18" s="538" t="s">
        <v>116</v>
      </c>
      <c r="B18" s="535">
        <v>2003</v>
      </c>
      <c r="C18" s="535">
        <v>2004</v>
      </c>
      <c r="D18" s="535">
        <v>2005</v>
      </c>
      <c r="E18" s="535">
        <v>2006</v>
      </c>
      <c r="F18" s="535">
        <v>2007</v>
      </c>
      <c r="G18" s="535">
        <v>2008</v>
      </c>
      <c r="H18" s="551"/>
      <c r="I18" s="62"/>
      <c r="J18" s="62"/>
    </row>
    <row r="19" spans="1:10" s="332" customFormat="1" ht="15">
      <c r="A19" s="534" t="s">
        <v>503</v>
      </c>
      <c r="B19" s="534"/>
      <c r="C19" s="550">
        <f>C6*(1-C7)</f>
        <v>74.75</v>
      </c>
      <c r="D19" s="550">
        <f t="shared" ref="D19:G19" si="0">D6*(1-D7)</f>
        <v>89.7</v>
      </c>
      <c r="E19" s="550">
        <f t="shared" si="0"/>
        <v>107.25</v>
      </c>
      <c r="F19" s="550">
        <f t="shared" si="0"/>
        <v>129.35</v>
      </c>
      <c r="G19" s="550">
        <f t="shared" si="0"/>
        <v>154.70000000000002</v>
      </c>
      <c r="H19" s="62"/>
      <c r="I19" s="62"/>
      <c r="J19" s="62"/>
    </row>
    <row r="20" spans="1:10" s="332" customFormat="1" ht="15">
      <c r="A20" s="552" t="s">
        <v>737</v>
      </c>
      <c r="B20" s="552"/>
      <c r="C20" s="553">
        <f>C8</f>
        <v>15</v>
      </c>
      <c r="D20" s="553">
        <f t="shared" ref="D20:G20" si="1">D8</f>
        <v>16</v>
      </c>
      <c r="E20" s="553">
        <f t="shared" si="1"/>
        <v>16</v>
      </c>
      <c r="F20" s="553">
        <f t="shared" si="1"/>
        <v>17</v>
      </c>
      <c r="G20" s="553">
        <f t="shared" si="1"/>
        <v>17</v>
      </c>
      <c r="H20" s="62"/>
      <c r="I20" s="62"/>
      <c r="J20" s="62"/>
    </row>
    <row r="21" spans="1:10" s="332" customFormat="1" ht="15">
      <c r="A21" s="534" t="s">
        <v>738</v>
      </c>
      <c r="B21" s="534"/>
      <c r="C21" s="550">
        <f>C19+C20</f>
        <v>89.75</v>
      </c>
      <c r="D21" s="550">
        <f t="shared" ref="D21:G21" si="2">D19+D20</f>
        <v>105.7</v>
      </c>
      <c r="E21" s="550">
        <f t="shared" si="2"/>
        <v>123.25</v>
      </c>
      <c r="F21" s="550">
        <f t="shared" si="2"/>
        <v>146.35</v>
      </c>
      <c r="G21" s="550">
        <f t="shared" si="2"/>
        <v>171.70000000000002</v>
      </c>
      <c r="H21" s="62"/>
      <c r="I21" s="62"/>
      <c r="J21" s="62"/>
    </row>
    <row r="22" spans="1:10" s="332" customFormat="1" ht="15">
      <c r="A22" s="534" t="s">
        <v>506</v>
      </c>
      <c r="B22" s="534"/>
      <c r="C22" s="550">
        <f>C9-B9</f>
        <v>152.35879999999997</v>
      </c>
      <c r="D22" s="550">
        <f t="shared" ref="D22:G22" si="3">D9-C9</f>
        <v>126.67176000000018</v>
      </c>
      <c r="E22" s="550">
        <f t="shared" si="3"/>
        <v>152.0061119999998</v>
      </c>
      <c r="F22" s="550">
        <f t="shared" si="3"/>
        <v>182.40733440000008</v>
      </c>
      <c r="G22" s="550">
        <f t="shared" si="3"/>
        <v>218.88880128000005</v>
      </c>
      <c r="H22" s="62"/>
      <c r="I22" s="62"/>
      <c r="J22" s="62"/>
    </row>
    <row r="23" spans="1:10" s="332" customFormat="1" ht="15">
      <c r="A23" s="552" t="s">
        <v>507</v>
      </c>
      <c r="B23" s="552"/>
      <c r="C23" s="553">
        <f>C10</f>
        <v>3</v>
      </c>
      <c r="D23" s="553">
        <f t="shared" ref="D23:G23" si="4">D10</f>
        <v>3</v>
      </c>
      <c r="E23" s="553">
        <f t="shared" si="4"/>
        <v>3</v>
      </c>
      <c r="F23" s="553">
        <f t="shared" si="4"/>
        <v>3</v>
      </c>
      <c r="G23" s="553">
        <f t="shared" si="4"/>
        <v>2</v>
      </c>
      <c r="H23" s="62"/>
      <c r="I23" s="62"/>
      <c r="J23" s="62"/>
    </row>
    <row r="24" spans="1:10" s="332" customFormat="1" ht="15">
      <c r="A24" s="554" t="s">
        <v>734</v>
      </c>
      <c r="B24" s="554"/>
      <c r="C24" s="555">
        <f>C21-C22-C23</f>
        <v>-65.608799999999974</v>
      </c>
      <c r="D24" s="555">
        <f t="shared" ref="D24:G24" si="5">D21-D22-D23</f>
        <v>-23.971760000000174</v>
      </c>
      <c r="E24" s="555">
        <f t="shared" si="5"/>
        <v>-31.756111999999803</v>
      </c>
      <c r="F24" s="555">
        <f t="shared" si="5"/>
        <v>-39.057334400000087</v>
      </c>
      <c r="G24" s="555">
        <f t="shared" si="5"/>
        <v>-49.188801280000035</v>
      </c>
      <c r="H24" s="62"/>
      <c r="I24" s="62"/>
      <c r="J24" s="62"/>
    </row>
    <row r="25" spans="1:10" s="332" customFormat="1" ht="15">
      <c r="A25" s="552" t="s">
        <v>735</v>
      </c>
      <c r="B25" s="552"/>
      <c r="C25" s="553"/>
      <c r="D25" s="553"/>
      <c r="E25" s="553"/>
      <c r="F25" s="553"/>
      <c r="G25" s="553">
        <f>(G24*(1+G11))/(B12-G11)</f>
        <v>-752.29931369411815</v>
      </c>
      <c r="H25" s="62"/>
      <c r="I25" s="62"/>
      <c r="J25" s="62"/>
    </row>
    <row r="26" spans="1:10" s="332" customFormat="1" ht="15">
      <c r="A26" s="534" t="s">
        <v>736</v>
      </c>
      <c r="B26" s="534"/>
      <c r="C26" s="550">
        <f>C24+C25</f>
        <v>-65.608799999999974</v>
      </c>
      <c r="D26" s="550">
        <f t="shared" ref="D26:F26" si="6">D24+D25</f>
        <v>-23.971760000000174</v>
      </c>
      <c r="E26" s="550">
        <f t="shared" si="6"/>
        <v>-31.756111999999803</v>
      </c>
      <c r="F26" s="550">
        <f t="shared" si="6"/>
        <v>-39.057334400000087</v>
      </c>
      <c r="G26" s="550">
        <f>G24+G25</f>
        <v>-801.48811497411816</v>
      </c>
      <c r="H26" s="62"/>
      <c r="I26" s="62"/>
      <c r="J26" s="62"/>
    </row>
    <row r="27" spans="1:10" s="332" customFormat="1" ht="15">
      <c r="A27" s="534"/>
      <c r="B27" s="534"/>
      <c r="C27" s="550"/>
      <c r="D27" s="550"/>
      <c r="E27" s="550"/>
      <c r="F27" s="550"/>
      <c r="G27" s="550"/>
      <c r="H27" s="62"/>
      <c r="I27" s="62"/>
      <c r="J27" s="62"/>
    </row>
    <row r="28" spans="1:10" s="332" customFormat="1" ht="15">
      <c r="A28" s="534" t="s">
        <v>511</v>
      </c>
      <c r="B28" s="550">
        <f>NPV(B12,C26:G26)</f>
        <v>-607.95287237455454</v>
      </c>
      <c r="C28" s="543"/>
      <c r="D28" s="534"/>
      <c r="E28" s="534"/>
      <c r="F28" s="534"/>
      <c r="G28" s="534"/>
      <c r="H28" s="62"/>
      <c r="I28" s="62"/>
      <c r="J28" s="62"/>
    </row>
    <row r="29" spans="1:10" s="332" customFormat="1" ht="15">
      <c r="A29" s="552" t="s">
        <v>729</v>
      </c>
      <c r="B29" s="556">
        <f>B13</f>
        <v>57</v>
      </c>
      <c r="C29" s="534"/>
      <c r="D29" s="557" t="s">
        <v>311</v>
      </c>
      <c r="E29" s="534"/>
      <c r="F29" s="534"/>
      <c r="G29" s="534" t="s">
        <v>311</v>
      </c>
      <c r="H29" s="62"/>
      <c r="I29" s="62"/>
      <c r="J29" s="62"/>
    </row>
    <row r="30" spans="1:10" s="332" customFormat="1" ht="15">
      <c r="A30" s="534" t="s">
        <v>730</v>
      </c>
      <c r="B30" s="558">
        <f>B28-B29</f>
        <v>-664.95287237455454</v>
      </c>
      <c r="C30" s="534"/>
      <c r="D30" s="534" t="s">
        <v>311</v>
      </c>
      <c r="E30" s="534"/>
      <c r="F30" s="534"/>
      <c r="G30" s="534"/>
      <c r="H30" s="62"/>
      <c r="I30" s="62"/>
      <c r="J30" s="62"/>
    </row>
    <row r="31" spans="1:10" s="332" customFormat="1" ht="15">
      <c r="A31" s="552" t="s">
        <v>731</v>
      </c>
      <c r="B31" s="559">
        <v>0</v>
      </c>
      <c r="C31" s="534"/>
      <c r="D31" s="534"/>
      <c r="E31" s="534"/>
      <c r="F31" s="534"/>
      <c r="G31" s="534"/>
      <c r="H31" s="62"/>
      <c r="I31" s="62"/>
      <c r="J31" s="62"/>
    </row>
    <row r="32" spans="1:10" s="332" customFormat="1" ht="15">
      <c r="A32" s="534" t="s">
        <v>732</v>
      </c>
      <c r="B32" s="560">
        <f>B30+B31</f>
        <v>-664.95287237455454</v>
      </c>
      <c r="C32" s="534"/>
      <c r="D32" s="534"/>
      <c r="E32" s="534"/>
      <c r="F32" s="534"/>
      <c r="G32" s="534"/>
      <c r="H32" s="62"/>
      <c r="I32" s="62"/>
      <c r="J32" s="62"/>
    </row>
    <row r="33" spans="1:10" s="332" customFormat="1" ht="15">
      <c r="A33" s="552" t="s">
        <v>733</v>
      </c>
      <c r="B33" s="561">
        <v>10</v>
      </c>
      <c r="C33" s="597" t="s">
        <v>742</v>
      </c>
      <c r="D33" s="597"/>
      <c r="E33" s="597"/>
      <c r="F33" s="597"/>
      <c r="G33" s="597"/>
      <c r="H33" s="597"/>
      <c r="I33" s="597"/>
      <c r="J33" s="62"/>
    </row>
    <row r="34" spans="1:10" s="332" customFormat="1" ht="15.75">
      <c r="A34" s="533" t="s">
        <v>517</v>
      </c>
      <c r="B34" s="562">
        <f>B32/B33</f>
        <v>-66.495287237455457</v>
      </c>
      <c r="C34" s="534"/>
      <c r="D34" s="534"/>
      <c r="E34" s="534"/>
      <c r="F34" s="534"/>
      <c r="G34" s="534"/>
      <c r="H34" s="62"/>
      <c r="I34" s="62"/>
      <c r="J34" s="62"/>
    </row>
    <row r="35" spans="1:10" s="332" customFormat="1">
      <c r="A35" s="62"/>
      <c r="B35" s="62"/>
      <c r="C35" s="62"/>
      <c r="D35" s="62"/>
      <c r="E35" s="62"/>
      <c r="F35" s="62"/>
      <c r="G35" s="62"/>
      <c r="H35" s="62"/>
      <c r="I35" s="62"/>
      <c r="J35" s="62"/>
    </row>
    <row r="36" spans="1:10" s="332" customFormat="1">
      <c r="A36" s="62"/>
      <c r="B36" s="599" t="s">
        <v>591</v>
      </c>
      <c r="C36" s="600"/>
      <c r="D36" s="600"/>
      <c r="E36" s="600"/>
      <c r="F36" s="563"/>
      <c r="G36" s="564"/>
      <c r="H36" s="62"/>
      <c r="I36" s="62"/>
      <c r="J36" s="62"/>
    </row>
    <row r="37" spans="1:10" s="332" customFormat="1">
      <c r="A37" s="62"/>
      <c r="B37" s="565" t="s">
        <v>587</v>
      </c>
      <c r="C37" s="566">
        <v>1036.8912</v>
      </c>
      <c r="D37" s="566">
        <v>1244.26944</v>
      </c>
      <c r="E37" s="566">
        <v>1493.1233279999999</v>
      </c>
      <c r="F37" s="566">
        <v>1791.7479936</v>
      </c>
      <c r="G37" s="567">
        <v>2150.0975923199999</v>
      </c>
      <c r="H37" s="62"/>
      <c r="I37" s="62"/>
      <c r="J37" s="62"/>
    </row>
    <row r="38" spans="1:10" s="332" customFormat="1">
      <c r="A38" s="62"/>
      <c r="B38" s="565" t="s">
        <v>588</v>
      </c>
      <c r="C38" s="568">
        <v>403.5324</v>
      </c>
      <c r="D38" s="568">
        <v>484.23887999999982</v>
      </c>
      <c r="E38" s="568">
        <v>581.08665599999983</v>
      </c>
      <c r="F38" s="568">
        <v>697.30398719999971</v>
      </c>
      <c r="G38" s="569">
        <v>836.76478463999979</v>
      </c>
      <c r="H38" s="62"/>
      <c r="I38" s="62"/>
      <c r="J38" s="62"/>
    </row>
    <row r="39" spans="1:10" s="332" customFormat="1">
      <c r="A39" s="62"/>
      <c r="B39" s="570" t="s">
        <v>589</v>
      </c>
      <c r="C39" s="571">
        <v>633.35879999999997</v>
      </c>
      <c r="D39" s="572">
        <v>760.03056000000015</v>
      </c>
      <c r="E39" s="572">
        <v>912.03667199999995</v>
      </c>
      <c r="F39" s="572">
        <v>1094.4440064</v>
      </c>
      <c r="G39" s="573">
        <v>1313.3328076800001</v>
      </c>
      <c r="H39" s="62"/>
      <c r="I39" s="62"/>
      <c r="J39" s="62"/>
    </row>
    <row r="40" spans="1:10" s="332" customFormat="1">
      <c r="A40" s="62"/>
      <c r="B40" s="574"/>
      <c r="C40" s="575"/>
      <c r="D40" s="576"/>
      <c r="E40" s="576"/>
      <c r="F40" s="576"/>
      <c r="G40" s="576"/>
      <c r="H40" s="62"/>
      <c r="I40" s="62"/>
      <c r="J40" s="62"/>
    </row>
    <row r="41" spans="1:10" s="332" customFormat="1" ht="18">
      <c r="A41" s="577" t="s">
        <v>20</v>
      </c>
      <c r="B41" s="62"/>
      <c r="C41" s="62"/>
      <c r="D41" s="62"/>
      <c r="E41" s="62"/>
      <c r="F41" s="62"/>
      <c r="G41" s="62"/>
      <c r="H41" s="62"/>
      <c r="I41" s="62"/>
      <c r="J41" s="62"/>
    </row>
    <row r="42" spans="1:10" s="332" customFormat="1" ht="15.75">
      <c r="A42" s="272" t="s">
        <v>494</v>
      </c>
      <c r="B42" s="272"/>
      <c r="C42" s="317" t="s">
        <v>570</v>
      </c>
      <c r="D42" s="211"/>
      <c r="E42" s="211"/>
      <c r="F42" s="211"/>
      <c r="G42" s="211"/>
      <c r="H42" s="178"/>
      <c r="I42" s="3"/>
      <c r="J42" s="3"/>
    </row>
    <row r="43" spans="1:10" s="332" customFormat="1" ht="15.75">
      <c r="A43" s="272" t="s">
        <v>339</v>
      </c>
      <c r="B43" s="272"/>
      <c r="C43" s="211"/>
      <c r="D43" s="211"/>
      <c r="E43" s="211"/>
      <c r="F43" s="211"/>
      <c r="G43" s="211"/>
      <c r="H43" s="178"/>
      <c r="I43" s="3"/>
      <c r="J43" s="3"/>
    </row>
    <row r="44" spans="1:10" s="332" customFormat="1" ht="15.75">
      <c r="A44" s="273" t="s">
        <v>174</v>
      </c>
      <c r="B44" s="274">
        <v>0</v>
      </c>
      <c r="C44" s="275">
        <f t="shared" ref="C44:G45" si="7">B44+1</f>
        <v>1</v>
      </c>
      <c r="D44" s="275">
        <f t="shared" si="7"/>
        <v>2</v>
      </c>
      <c r="E44" s="275">
        <f t="shared" si="7"/>
        <v>3</v>
      </c>
      <c r="F44" s="275">
        <f t="shared" si="7"/>
        <v>4</v>
      </c>
      <c r="G44" s="275">
        <f t="shared" si="7"/>
        <v>5</v>
      </c>
      <c r="H44" s="178"/>
      <c r="I44" s="3"/>
      <c r="J44" s="3"/>
    </row>
    <row r="45" spans="1:10" s="332" customFormat="1" ht="15.75">
      <c r="A45" s="276" t="s">
        <v>116</v>
      </c>
      <c r="B45" s="277">
        <v>2003</v>
      </c>
      <c r="C45" s="272">
        <f t="shared" si="7"/>
        <v>2004</v>
      </c>
      <c r="D45" s="272">
        <f t="shared" si="7"/>
        <v>2005</v>
      </c>
      <c r="E45" s="272">
        <f t="shared" si="7"/>
        <v>2006</v>
      </c>
      <c r="F45" s="272">
        <f t="shared" si="7"/>
        <v>2007</v>
      </c>
      <c r="G45" s="272">
        <f t="shared" si="7"/>
        <v>2008</v>
      </c>
      <c r="H45" s="178"/>
      <c r="I45" s="3"/>
      <c r="J45" s="3"/>
    </row>
    <row r="46" spans="1:10" s="332" customFormat="1" ht="15.75">
      <c r="A46" s="211" t="s">
        <v>187</v>
      </c>
      <c r="B46" s="278"/>
      <c r="C46" s="279">
        <v>90</v>
      </c>
      <c r="D46" s="279">
        <v>95</v>
      </c>
      <c r="E46" s="279">
        <v>100</v>
      </c>
      <c r="F46" s="279">
        <v>105</v>
      </c>
      <c r="G46" s="279">
        <v>109</v>
      </c>
      <c r="H46" s="318" t="s">
        <v>17</v>
      </c>
      <c r="I46" s="3"/>
      <c r="J46" s="3"/>
    </row>
    <row r="47" spans="1:10" s="332" customFormat="1" ht="15.75">
      <c r="A47" s="211" t="s">
        <v>495</v>
      </c>
      <c r="B47" s="278"/>
      <c r="C47" s="280">
        <v>0.35</v>
      </c>
      <c r="D47" s="280">
        <f>C47</f>
        <v>0.35</v>
      </c>
      <c r="E47" s="280">
        <f>D47</f>
        <v>0.35</v>
      </c>
      <c r="F47" s="280">
        <f>E47</f>
        <v>0.35</v>
      </c>
      <c r="G47" s="280">
        <f>F47</f>
        <v>0.35</v>
      </c>
      <c r="H47" s="318" t="s">
        <v>18</v>
      </c>
      <c r="I47" s="3"/>
      <c r="J47" s="3"/>
    </row>
    <row r="48" spans="1:10" s="332" customFormat="1" ht="15.75">
      <c r="A48" s="211" t="s">
        <v>182</v>
      </c>
      <c r="B48" s="281"/>
      <c r="C48" s="279">
        <v>15</v>
      </c>
      <c r="D48" s="279">
        <v>16</v>
      </c>
      <c r="E48" s="279">
        <v>16</v>
      </c>
      <c r="F48" s="279">
        <v>17</v>
      </c>
      <c r="G48" s="279">
        <v>17</v>
      </c>
      <c r="H48" s="318" t="s">
        <v>659</v>
      </c>
      <c r="I48" s="3"/>
      <c r="J48" s="3"/>
    </row>
    <row r="49" spans="1:10" s="332" customFormat="1" ht="15">
      <c r="A49" s="211" t="s">
        <v>496</v>
      </c>
      <c r="B49" s="279">
        <f>776-256-39</f>
        <v>481</v>
      </c>
      <c r="C49" s="279">
        <f>C79</f>
        <v>498</v>
      </c>
      <c r="D49" s="279">
        <f>D79</f>
        <v>523</v>
      </c>
      <c r="E49" s="279">
        <f>E79</f>
        <v>548</v>
      </c>
      <c r="F49" s="279">
        <f>F79</f>
        <v>576</v>
      </c>
      <c r="G49" s="279">
        <f>G79</f>
        <v>605</v>
      </c>
      <c r="H49" s="318" t="s">
        <v>19</v>
      </c>
      <c r="I49" s="3"/>
      <c r="J49" s="3"/>
    </row>
    <row r="50" spans="1:10" s="332" customFormat="1" ht="15">
      <c r="A50" s="211" t="s">
        <v>497</v>
      </c>
      <c r="B50" s="282"/>
      <c r="C50" s="279">
        <v>3</v>
      </c>
      <c r="D50" s="279">
        <v>3</v>
      </c>
      <c r="E50" s="279">
        <v>3</v>
      </c>
      <c r="F50" s="279">
        <v>3</v>
      </c>
      <c r="G50" s="279">
        <v>2</v>
      </c>
      <c r="H50" s="318" t="s">
        <v>23</v>
      </c>
      <c r="I50" s="3"/>
      <c r="J50" s="3"/>
    </row>
    <row r="51" spans="1:10" s="332" customFormat="1" ht="15">
      <c r="A51" s="211" t="s">
        <v>498</v>
      </c>
      <c r="B51" s="283"/>
      <c r="C51" s="284"/>
      <c r="D51" s="284"/>
      <c r="E51" s="284"/>
      <c r="F51" s="284"/>
      <c r="G51" s="280">
        <v>0.02</v>
      </c>
      <c r="H51" s="318" t="s">
        <v>661</v>
      </c>
      <c r="I51" s="3"/>
      <c r="J51" s="3"/>
    </row>
    <row r="52" spans="1:10" s="332" customFormat="1" ht="15">
      <c r="A52" s="211" t="s">
        <v>499</v>
      </c>
      <c r="B52" s="280">
        <v>0.108</v>
      </c>
      <c r="C52" s="285"/>
      <c r="D52" s="285"/>
      <c r="E52" s="285"/>
      <c r="F52" s="285"/>
      <c r="G52" s="285"/>
      <c r="H52" s="318" t="s">
        <v>575</v>
      </c>
      <c r="I52" s="3"/>
      <c r="J52" s="3"/>
    </row>
    <row r="53" spans="1:10" s="332" customFormat="1" ht="15">
      <c r="A53" s="211" t="s">
        <v>500</v>
      </c>
      <c r="B53" s="286">
        <v>57</v>
      </c>
      <c r="C53" s="211"/>
      <c r="D53" s="211"/>
      <c r="E53" s="211"/>
      <c r="F53" s="211"/>
      <c r="G53" s="211"/>
      <c r="H53" s="318" t="s">
        <v>576</v>
      </c>
      <c r="I53" s="3"/>
      <c r="J53" s="3"/>
    </row>
    <row r="54" spans="1:10" s="332" customFormat="1" ht="15">
      <c r="A54" s="211" t="s">
        <v>501</v>
      </c>
      <c r="B54" s="287">
        <v>10</v>
      </c>
      <c r="C54" s="211"/>
      <c r="D54" s="211"/>
      <c r="E54" s="211"/>
      <c r="F54" s="211"/>
      <c r="G54" s="211"/>
      <c r="H54" s="318" t="s">
        <v>590</v>
      </c>
      <c r="I54" s="3"/>
      <c r="J54" s="3"/>
    </row>
    <row r="55" spans="1:10" s="332" customFormat="1" ht="15">
      <c r="A55" s="211" t="s">
        <v>502</v>
      </c>
      <c r="B55" s="287">
        <v>0</v>
      </c>
      <c r="C55" s="211"/>
      <c r="D55" s="211"/>
      <c r="E55" s="211"/>
      <c r="F55" s="211"/>
      <c r="G55" s="211"/>
      <c r="H55" s="318" t="s">
        <v>571</v>
      </c>
      <c r="I55" s="3"/>
      <c r="J55" s="3"/>
    </row>
    <row r="56" spans="1:10" s="332" customFormat="1" ht="15">
      <c r="A56" s="211"/>
      <c r="B56" s="211"/>
      <c r="C56" s="288"/>
      <c r="D56" s="288"/>
      <c r="E56" s="288"/>
      <c r="F56" s="288"/>
      <c r="G56" s="288"/>
      <c r="H56" s="178"/>
      <c r="I56" s="3"/>
      <c r="J56" s="3"/>
    </row>
    <row r="57" spans="1:10" s="332" customFormat="1" ht="15.75">
      <c r="A57" s="273" t="s">
        <v>174</v>
      </c>
      <c r="B57" s="275">
        <f>B44</f>
        <v>0</v>
      </c>
      <c r="C57" s="275">
        <f t="shared" ref="C57:G58" si="8">B57+1</f>
        <v>1</v>
      </c>
      <c r="D57" s="275">
        <f t="shared" si="8"/>
        <v>2</v>
      </c>
      <c r="E57" s="275">
        <f t="shared" si="8"/>
        <v>3</v>
      </c>
      <c r="F57" s="275">
        <f t="shared" si="8"/>
        <v>4</v>
      </c>
      <c r="G57" s="275">
        <f t="shared" si="8"/>
        <v>5</v>
      </c>
      <c r="H57" s="275"/>
      <c r="I57" s="3"/>
      <c r="J57" s="3"/>
    </row>
    <row r="58" spans="1:10" s="332" customFormat="1" ht="15.75">
      <c r="A58" s="276" t="s">
        <v>116</v>
      </c>
      <c r="B58" s="272">
        <f>B45</f>
        <v>2003</v>
      </c>
      <c r="C58" s="272">
        <f t="shared" si="8"/>
        <v>2004</v>
      </c>
      <c r="D58" s="272">
        <f t="shared" si="8"/>
        <v>2005</v>
      </c>
      <c r="E58" s="272">
        <f t="shared" si="8"/>
        <v>2006</v>
      </c>
      <c r="F58" s="272">
        <f t="shared" si="8"/>
        <v>2007</v>
      </c>
      <c r="G58" s="272">
        <f t="shared" si="8"/>
        <v>2008</v>
      </c>
      <c r="H58" s="289"/>
      <c r="I58" s="3"/>
      <c r="J58" s="3"/>
    </row>
    <row r="59" spans="1:10" s="332" customFormat="1" ht="15">
      <c r="A59" s="211" t="s">
        <v>503</v>
      </c>
      <c r="B59" s="211"/>
      <c r="C59" s="288">
        <f>C46*(1-C47)</f>
        <v>58.5</v>
      </c>
      <c r="D59" s="288">
        <f>D46*(1-D47)</f>
        <v>61.75</v>
      </c>
      <c r="E59" s="288">
        <f>E46*(1-E47)</f>
        <v>65</v>
      </c>
      <c r="F59" s="288">
        <f>F46*(1-F47)</f>
        <v>68.25</v>
      </c>
      <c r="G59" s="288">
        <f>G46*(1-G47)</f>
        <v>70.850000000000009</v>
      </c>
      <c r="H59" s="178"/>
      <c r="I59" s="3"/>
      <c r="J59" s="3"/>
    </row>
    <row r="60" spans="1:10" s="332" customFormat="1" ht="15">
      <c r="A60" s="290" t="s">
        <v>504</v>
      </c>
      <c r="B60" s="290"/>
      <c r="C60" s="291">
        <f>C48</f>
        <v>15</v>
      </c>
      <c r="D60" s="291">
        <f>D48</f>
        <v>16</v>
      </c>
      <c r="E60" s="291">
        <f>E48</f>
        <v>16</v>
      </c>
      <c r="F60" s="291">
        <f>F48</f>
        <v>17</v>
      </c>
      <c r="G60" s="291">
        <f>G48</f>
        <v>17</v>
      </c>
      <c r="H60" s="178"/>
      <c r="I60" s="3"/>
      <c r="J60" s="3"/>
    </row>
    <row r="61" spans="1:10" s="332" customFormat="1" ht="15">
      <c r="A61" s="292" t="s">
        <v>505</v>
      </c>
      <c r="B61" s="211"/>
      <c r="C61" s="288">
        <f>C59+C60</f>
        <v>73.5</v>
      </c>
      <c r="D61" s="288">
        <f>D59+D60</f>
        <v>77.75</v>
      </c>
      <c r="E61" s="288">
        <f>E59+E60</f>
        <v>81</v>
      </c>
      <c r="F61" s="288">
        <f>F59+F60</f>
        <v>85.25</v>
      </c>
      <c r="G61" s="288">
        <f>G59+G60</f>
        <v>87.850000000000009</v>
      </c>
      <c r="H61" s="178"/>
      <c r="I61" s="3"/>
      <c r="J61" s="3"/>
    </row>
    <row r="62" spans="1:10" s="332" customFormat="1" ht="15">
      <c r="A62" s="292" t="s">
        <v>506</v>
      </c>
      <c r="B62" s="292"/>
      <c r="C62" s="288">
        <f>-C49+B49</f>
        <v>-17</v>
      </c>
      <c r="D62" s="288">
        <f t="shared" ref="D62:G62" si="9">-D49+C49</f>
        <v>-25</v>
      </c>
      <c r="E62" s="288">
        <f t="shared" si="9"/>
        <v>-25</v>
      </c>
      <c r="F62" s="288">
        <f t="shared" si="9"/>
        <v>-28</v>
      </c>
      <c r="G62" s="288">
        <f t="shared" si="9"/>
        <v>-29</v>
      </c>
      <c r="H62" s="179" t="s">
        <v>311</v>
      </c>
      <c r="I62" s="3"/>
      <c r="J62" s="3"/>
    </row>
    <row r="63" spans="1:10" s="332" customFormat="1" ht="15">
      <c r="A63" s="290" t="s">
        <v>507</v>
      </c>
      <c r="B63" s="290"/>
      <c r="C63" s="291">
        <f>-C50</f>
        <v>-3</v>
      </c>
      <c r="D63" s="291">
        <f t="shared" ref="D63:G63" si="10">-D50</f>
        <v>-3</v>
      </c>
      <c r="E63" s="291">
        <f t="shared" si="10"/>
        <v>-3</v>
      </c>
      <c r="F63" s="291">
        <f t="shared" si="10"/>
        <v>-3</v>
      </c>
      <c r="G63" s="291">
        <f t="shared" si="10"/>
        <v>-2</v>
      </c>
      <c r="H63" s="178"/>
      <c r="I63" s="3"/>
      <c r="J63" s="3"/>
    </row>
    <row r="64" spans="1:10" s="332" customFormat="1" ht="15">
      <c r="A64" s="293" t="s">
        <v>508</v>
      </c>
      <c r="B64" s="294"/>
      <c r="C64" s="295">
        <f>C61+C62+C63</f>
        <v>53.5</v>
      </c>
      <c r="D64" s="295">
        <f>D61+D62+D63</f>
        <v>49.75</v>
      </c>
      <c r="E64" s="295">
        <f>E61+E62+E63</f>
        <v>53</v>
      </c>
      <c r="F64" s="295">
        <f>F61+F62+F63</f>
        <v>54.25</v>
      </c>
      <c r="G64" s="295">
        <f>G61+G62+G63</f>
        <v>56.850000000000009</v>
      </c>
      <c r="H64" s="178"/>
      <c r="I64" s="3"/>
      <c r="J64" s="3"/>
    </row>
    <row r="65" spans="1:10" s="332" customFormat="1" ht="15">
      <c r="A65" s="290" t="s">
        <v>509</v>
      </c>
      <c r="B65" s="296"/>
      <c r="C65" s="291"/>
      <c r="D65" s="291"/>
      <c r="E65" s="291"/>
      <c r="F65" s="291"/>
      <c r="G65" s="291">
        <f>(G64*(1+G51)/(B52-G51))</f>
        <v>658.94318181818198</v>
      </c>
      <c r="H65" s="178"/>
      <c r="I65" s="3"/>
      <c r="J65" s="3"/>
    </row>
    <row r="66" spans="1:10" s="332" customFormat="1" ht="15">
      <c r="A66" s="292" t="s">
        <v>510</v>
      </c>
      <c r="B66" s="211"/>
      <c r="C66" s="288">
        <f>C64+C65</f>
        <v>53.5</v>
      </c>
      <c r="D66" s="288">
        <f t="shared" ref="D66:G66" si="11">D64+D65</f>
        <v>49.75</v>
      </c>
      <c r="E66" s="288">
        <f t="shared" si="11"/>
        <v>53</v>
      </c>
      <c r="F66" s="288">
        <f t="shared" si="11"/>
        <v>54.25</v>
      </c>
      <c r="G66" s="288">
        <f t="shared" si="11"/>
        <v>715.79318181818201</v>
      </c>
      <c r="H66" s="178"/>
      <c r="I66" s="3"/>
      <c r="J66" s="3"/>
    </row>
    <row r="67" spans="1:10" s="332" customFormat="1" ht="15">
      <c r="A67" s="292"/>
      <c r="B67" s="211"/>
      <c r="C67" s="288"/>
      <c r="D67" s="288"/>
      <c r="E67" s="288"/>
      <c r="F67" s="288"/>
      <c r="G67" s="288"/>
      <c r="H67" s="178"/>
      <c r="I67" s="3"/>
      <c r="J67" s="3"/>
    </row>
    <row r="68" spans="1:10" s="332" customFormat="1" ht="15">
      <c r="A68" s="211" t="s">
        <v>511</v>
      </c>
      <c r="B68" s="585">
        <f>NPV(B52,C66:G66)</f>
        <v>592.40368066270128</v>
      </c>
      <c r="C68" s="280"/>
      <c r="D68" s="211"/>
      <c r="E68" s="211"/>
      <c r="F68" s="211"/>
      <c r="G68" s="211"/>
      <c r="H68" s="178"/>
      <c r="I68" s="3"/>
      <c r="J68" s="3"/>
    </row>
    <row r="69" spans="1:10" s="332" customFormat="1" ht="15">
      <c r="A69" s="290" t="s">
        <v>512</v>
      </c>
      <c r="B69" s="586">
        <f>B53</f>
        <v>57</v>
      </c>
      <c r="C69" s="211"/>
      <c r="D69" s="297" t="s">
        <v>311</v>
      </c>
      <c r="E69" s="211"/>
      <c r="F69" s="211"/>
      <c r="G69" s="211" t="s">
        <v>311</v>
      </c>
      <c r="H69" s="178"/>
      <c r="I69" s="3"/>
      <c r="J69" s="3"/>
    </row>
    <row r="70" spans="1:10" s="332" customFormat="1" ht="15">
      <c r="A70" s="292" t="s">
        <v>513</v>
      </c>
      <c r="B70" s="298">
        <f>B68-B69</f>
        <v>535.40368066270128</v>
      </c>
      <c r="C70" s="211"/>
      <c r="D70" s="211" t="s">
        <v>311</v>
      </c>
      <c r="E70" s="211"/>
      <c r="F70" s="211"/>
      <c r="G70" s="211"/>
      <c r="H70" s="178"/>
      <c r="I70" s="3"/>
      <c r="J70" s="3"/>
    </row>
    <row r="71" spans="1:10" s="332" customFormat="1" ht="15">
      <c r="A71" s="290" t="s">
        <v>514</v>
      </c>
      <c r="B71" s="299">
        <f>B55</f>
        <v>0</v>
      </c>
      <c r="C71" s="211"/>
      <c r="D71" s="211"/>
      <c r="E71" s="211"/>
      <c r="F71" s="211"/>
      <c r="G71" s="211"/>
      <c r="H71" s="178"/>
      <c r="I71" s="3"/>
      <c r="J71" s="3"/>
    </row>
    <row r="72" spans="1:10" s="332" customFormat="1" ht="15">
      <c r="A72" s="292" t="s">
        <v>515</v>
      </c>
      <c r="B72" s="300">
        <f>B70+B71</f>
        <v>535.40368066270128</v>
      </c>
      <c r="C72" s="211"/>
      <c r="D72" s="211"/>
      <c r="E72" s="211"/>
      <c r="F72" s="211"/>
      <c r="G72" s="211"/>
      <c r="H72" s="178"/>
      <c r="I72" s="3"/>
      <c r="J72" s="3"/>
    </row>
    <row r="73" spans="1:10" s="332" customFormat="1" ht="15">
      <c r="A73" s="290" t="s">
        <v>516</v>
      </c>
      <c r="B73" s="301">
        <f>B54</f>
        <v>10</v>
      </c>
      <c r="C73" s="318" t="str">
        <f>C33</f>
        <v>This small business is valued in its aggregate (all shares) rather than its per share value.</v>
      </c>
      <c r="D73" s="211"/>
      <c r="E73" s="211"/>
      <c r="F73" s="211"/>
      <c r="G73" s="211"/>
      <c r="H73" s="178"/>
      <c r="I73" s="3"/>
      <c r="J73" s="3"/>
    </row>
    <row r="74" spans="1:10" s="332" customFormat="1" ht="15.75">
      <c r="A74" s="275" t="s">
        <v>517</v>
      </c>
      <c r="B74" s="328">
        <f>B72/B54</f>
        <v>53.540368066270126</v>
      </c>
      <c r="C74" s="211"/>
      <c r="D74" s="211"/>
      <c r="E74" s="211"/>
      <c r="F74" s="211"/>
      <c r="G74" s="211"/>
      <c r="H74" s="178"/>
      <c r="I74" s="3"/>
      <c r="J74" s="3"/>
    </row>
    <row r="75" spans="1:10" s="332" customFormat="1" ht="15.75">
      <c r="A75" s="275"/>
      <c r="B75" s="328"/>
      <c r="C75" s="211"/>
      <c r="D75" s="211"/>
      <c r="E75" s="211"/>
      <c r="F75" s="211"/>
      <c r="G75" s="211"/>
      <c r="H75" s="391"/>
    </row>
    <row r="76" spans="1:10" s="332" customFormat="1">
      <c r="B76" s="583" t="s">
        <v>660</v>
      </c>
      <c r="D76" s="584"/>
      <c r="E76" s="584"/>
      <c r="F76" s="584"/>
      <c r="G76" s="591"/>
      <c r="H76" s="391"/>
    </row>
    <row r="77" spans="1:10" s="332" customFormat="1">
      <c r="B77" s="565" t="s">
        <v>587</v>
      </c>
      <c r="C77" s="566">
        <v>815</v>
      </c>
      <c r="D77" s="566">
        <v>856</v>
      </c>
      <c r="E77" s="566">
        <v>898</v>
      </c>
      <c r="F77" s="566">
        <v>943</v>
      </c>
      <c r="G77" s="567">
        <v>990</v>
      </c>
      <c r="H77" s="391"/>
    </row>
    <row r="78" spans="1:10" s="332" customFormat="1">
      <c r="B78" s="565" t="s">
        <v>588</v>
      </c>
      <c r="C78" s="568">
        <v>317</v>
      </c>
      <c r="D78" s="568">
        <v>333</v>
      </c>
      <c r="E78" s="568">
        <v>350</v>
      </c>
      <c r="F78" s="568">
        <v>367</v>
      </c>
      <c r="G78" s="569">
        <v>385</v>
      </c>
      <c r="H78" s="391"/>
    </row>
    <row r="79" spans="1:10" s="332" customFormat="1">
      <c r="B79" s="570" t="s">
        <v>589</v>
      </c>
      <c r="C79" s="571">
        <v>498</v>
      </c>
      <c r="D79" s="572">
        <v>523</v>
      </c>
      <c r="E79" s="572">
        <v>548</v>
      </c>
      <c r="F79" s="572">
        <v>576</v>
      </c>
      <c r="G79" s="573">
        <v>605</v>
      </c>
      <c r="H79" s="391"/>
    </row>
    <row r="80" spans="1:10" s="332" customFormat="1">
      <c r="A80" s="62"/>
      <c r="B80" s="62"/>
      <c r="C80" s="62"/>
      <c r="D80" s="62"/>
      <c r="E80" s="62"/>
      <c r="F80" s="62"/>
      <c r="G80" s="62"/>
      <c r="H80" s="62"/>
      <c r="I80" s="62"/>
      <c r="J80" s="62"/>
    </row>
    <row r="81" spans="1:118" s="332" customFormat="1">
      <c r="A81" s="62"/>
      <c r="B81" s="62"/>
      <c r="C81" s="62"/>
      <c r="D81" s="62"/>
      <c r="E81" s="62"/>
      <c r="F81" s="62"/>
      <c r="G81" s="62"/>
      <c r="H81" s="62"/>
      <c r="I81" s="62"/>
      <c r="J81" s="62"/>
    </row>
    <row r="82" spans="1:118" ht="15.75">
      <c r="A82" s="275" t="s">
        <v>24</v>
      </c>
      <c r="B82" s="275"/>
      <c r="C82" s="275"/>
      <c r="D82" s="302" t="s">
        <v>311</v>
      </c>
      <c r="E82" s="211"/>
      <c r="F82" s="211"/>
      <c r="G82" s="211"/>
      <c r="H82" s="178"/>
    </row>
    <row r="83" spans="1:118" ht="15">
      <c r="A83" s="598" t="s">
        <v>29</v>
      </c>
      <c r="B83" s="598"/>
      <c r="C83" s="598"/>
      <c r="D83" s="598"/>
      <c r="E83" s="598"/>
      <c r="F83" s="598"/>
      <c r="G83" s="598"/>
      <c r="H83" s="180" t="s">
        <v>714</v>
      </c>
      <c r="I83" s="1"/>
    </row>
    <row r="84" spans="1:118" ht="15">
      <c r="A84" s="598" t="s">
        <v>743</v>
      </c>
      <c r="B84" s="598"/>
      <c r="C84" s="598"/>
      <c r="D84" s="598"/>
      <c r="E84" s="598"/>
      <c r="F84" s="224"/>
      <c r="G84" s="224"/>
      <c r="H84" s="1"/>
      <c r="I84" s="1"/>
    </row>
    <row r="85" spans="1:118" ht="15">
      <c r="A85" s="598" t="s">
        <v>728</v>
      </c>
      <c r="B85" s="598"/>
      <c r="C85" s="598"/>
      <c r="D85" s="598"/>
      <c r="E85" s="598"/>
      <c r="F85" s="598"/>
      <c r="G85" s="598"/>
      <c r="H85" s="1"/>
      <c r="I85" s="1"/>
    </row>
    <row r="86" spans="1:118" ht="15">
      <c r="A86" s="224" t="s">
        <v>744</v>
      </c>
      <c r="B86" s="223"/>
      <c r="C86" s="223"/>
      <c r="D86" s="223"/>
      <c r="E86" s="223"/>
      <c r="F86" s="223"/>
      <c r="G86" s="223"/>
      <c r="H86" s="1"/>
      <c r="I86" s="1"/>
    </row>
    <row r="87" spans="1:118" ht="15.75" thickBo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spans="1:118" ht="15">
      <c r="A88" s="592"/>
      <c r="B88" s="217"/>
      <c r="C88" s="217"/>
      <c r="D88" s="217"/>
      <c r="E88" s="217"/>
      <c r="F88" s="217"/>
      <c r="G88" s="21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spans="1:118" ht="15">
      <c r="A89" s="593"/>
      <c r="B89" s="219"/>
      <c r="C89" s="219"/>
      <c r="D89" s="219"/>
      <c r="E89" s="219"/>
      <c r="F89" s="219"/>
      <c r="G89" s="220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spans="1:118" ht="15">
      <c r="A90" s="593"/>
      <c r="B90" s="219"/>
      <c r="C90" s="219"/>
      <c r="D90" s="219"/>
      <c r="E90" s="219"/>
      <c r="F90" s="219"/>
      <c r="G90" s="22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spans="1:118" s="332" customFormat="1" ht="15">
      <c r="A91" s="593"/>
      <c r="B91" s="219"/>
      <c r="C91" s="219"/>
      <c r="D91" s="219"/>
      <c r="E91" s="219"/>
      <c r="F91" s="219"/>
      <c r="G91" s="220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spans="1:118" s="332" customFormat="1" ht="15">
      <c r="A92" s="593"/>
      <c r="B92" s="219"/>
      <c r="C92" s="219"/>
      <c r="D92" s="219"/>
      <c r="E92" s="219"/>
      <c r="F92" s="219"/>
      <c r="G92" s="220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spans="1:118" s="332" customFormat="1" ht="15">
      <c r="A93" s="593"/>
      <c r="B93" s="219"/>
      <c r="C93" s="219"/>
      <c r="D93" s="219"/>
      <c r="E93" s="219"/>
      <c r="F93" s="219"/>
      <c r="G93" s="220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spans="1:118" s="332" customFormat="1" ht="15">
      <c r="A94" s="593"/>
      <c r="B94" s="219"/>
      <c r="C94" s="219"/>
      <c r="D94" s="219"/>
      <c r="E94" s="219"/>
      <c r="F94" s="219"/>
      <c r="G94" s="220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spans="1:118" s="332" customFormat="1" ht="15">
      <c r="A95" s="593"/>
      <c r="B95" s="219"/>
      <c r="C95" s="219"/>
      <c r="D95" s="219"/>
      <c r="E95" s="219"/>
      <c r="F95" s="219"/>
      <c r="G95" s="220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spans="1:118" s="332" customFormat="1" ht="15">
      <c r="A96" s="593"/>
      <c r="B96" s="219"/>
      <c r="C96" s="219"/>
      <c r="D96" s="219"/>
      <c r="E96" s="219"/>
      <c r="F96" s="219"/>
      <c r="G96" s="220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spans="1:118" s="332" customFormat="1" ht="15">
      <c r="A97" s="593"/>
      <c r="B97" s="219"/>
      <c r="C97" s="219"/>
      <c r="D97" s="219"/>
      <c r="E97" s="219"/>
      <c r="F97" s="219"/>
      <c r="G97" s="220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spans="1:118" ht="15">
      <c r="A98" s="593"/>
      <c r="B98" s="219"/>
      <c r="C98" s="219"/>
      <c r="D98" s="219"/>
      <c r="E98" s="219"/>
      <c r="F98" s="219"/>
      <c r="G98" s="220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spans="1:118" ht="15">
      <c r="A99" s="593"/>
      <c r="B99" s="219"/>
      <c r="C99" s="219"/>
      <c r="D99" s="219"/>
      <c r="E99" s="219"/>
      <c r="F99" s="219"/>
      <c r="G99" s="220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spans="1:118" ht="15">
      <c r="A100" s="593"/>
      <c r="B100" s="219"/>
      <c r="C100" s="219"/>
      <c r="D100" s="219"/>
      <c r="E100" s="219"/>
      <c r="F100" s="219"/>
      <c r="G100" s="22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spans="1:118" ht="15">
      <c r="A101" s="593"/>
      <c r="B101" s="219"/>
      <c r="C101" s="219"/>
      <c r="D101" s="219"/>
      <c r="E101" s="219"/>
      <c r="F101" s="219"/>
      <c r="G101" s="220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spans="1:118" ht="15">
      <c r="A102" s="593"/>
      <c r="B102" s="219"/>
      <c r="C102" s="219"/>
      <c r="D102" s="219"/>
      <c r="E102" s="219"/>
      <c r="F102" s="219"/>
      <c r="G102" s="220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spans="1:118" ht="15">
      <c r="A103" s="593"/>
      <c r="B103" s="219"/>
      <c r="C103" s="219"/>
      <c r="D103" s="219"/>
      <c r="E103" s="219"/>
      <c r="F103" s="219"/>
      <c r="G103" s="220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spans="1:118" ht="15">
      <c r="A104" s="593"/>
      <c r="B104" s="219"/>
      <c r="C104" s="219"/>
      <c r="D104" s="219"/>
      <c r="E104" s="219"/>
      <c r="F104" s="219"/>
      <c r="G104" s="220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spans="1:118" ht="15">
      <c r="A105" s="593"/>
      <c r="B105" s="219"/>
      <c r="C105" s="219"/>
      <c r="D105" s="219"/>
      <c r="E105" s="219"/>
      <c r="F105" s="219"/>
      <c r="G105" s="220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spans="1:118" ht="15">
      <c r="A106" s="593"/>
      <c r="B106" s="219"/>
      <c r="C106" s="219"/>
      <c r="D106" s="219"/>
      <c r="E106" s="219"/>
      <c r="F106" s="219"/>
      <c r="G106" s="220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spans="1:118" ht="15">
      <c r="A107" s="593"/>
      <c r="B107" s="219"/>
      <c r="C107" s="219"/>
      <c r="D107" s="219"/>
      <c r="E107" s="219"/>
      <c r="F107" s="219"/>
      <c r="G107" s="220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spans="1:118" ht="15">
      <c r="A108" s="593"/>
      <c r="B108" s="219"/>
      <c r="C108" s="219"/>
      <c r="D108" s="219"/>
      <c r="E108" s="219"/>
      <c r="F108" s="219"/>
      <c r="G108" s="220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spans="1:118" ht="15">
      <c r="A109" s="593"/>
      <c r="B109" s="219"/>
      <c r="C109" s="219"/>
      <c r="D109" s="219"/>
      <c r="E109" s="219"/>
      <c r="F109" s="219"/>
      <c r="G109" s="220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spans="1:118" ht="15">
      <c r="A110" s="593"/>
      <c r="B110" s="219"/>
      <c r="C110" s="219"/>
      <c r="D110" s="219"/>
      <c r="E110" s="219"/>
      <c r="F110" s="219"/>
      <c r="G110" s="22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spans="1:118" ht="15.75" thickBot="1">
      <c r="A111" s="594"/>
      <c r="B111" s="221"/>
      <c r="C111" s="221"/>
      <c r="D111" s="221"/>
      <c r="E111" s="221"/>
      <c r="F111" s="221"/>
      <c r="G111" s="222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spans="1:118" ht="1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spans="1:118" ht="1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spans="1:118" ht="1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spans="1:118" ht="1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spans="1:118" ht="1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spans="1:118" ht="1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spans="1:118" ht="1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spans="1:118" ht="1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spans="1:118" ht="1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spans="1:118" ht="1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spans="1:118" ht="1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spans="1:118" ht="1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spans="1:118" ht="1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spans="1:118" ht="1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spans="1:118" ht="1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spans="1:118" ht="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spans="1:118" ht="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spans="1:118" ht="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spans="1:118" ht="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spans="1:118" ht="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spans="1:118" ht="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spans="1:118" ht="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spans="1:118" ht="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spans="1:118" ht="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spans="1:118" ht="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spans="1:118" ht="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spans="1:118" ht="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spans="1:118" ht="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spans="1:118" ht="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spans="1:118" ht="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spans="1:118" ht="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spans="1:118" ht="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spans="1:118" ht="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spans="1:118" ht="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spans="1:118" ht="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spans="1:118" ht="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</sheetData>
  <mergeCells count="12">
    <mergeCell ref="A84:E84"/>
    <mergeCell ref="A85:G85"/>
    <mergeCell ref="H14:I14"/>
    <mergeCell ref="H15:I15"/>
    <mergeCell ref="C33:I33"/>
    <mergeCell ref="B36:E36"/>
    <mergeCell ref="A83:G83"/>
    <mergeCell ref="C2:F2"/>
    <mergeCell ref="H9:J9"/>
    <mergeCell ref="H10:I10"/>
    <mergeCell ref="H12:I12"/>
    <mergeCell ref="H13:I13"/>
  </mergeCells>
  <phoneticPr fontId="9" type="noConversion"/>
  <printOptions headings="1" gridLines="1"/>
  <pageMargins left="0.75" right="0.75" top="1" bottom="1" header="0.5" footer="0.5"/>
  <pageSetup scale="44" orientation="portrait" horizontalDpi="300" verticalDpi="300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opLeftCell="A32" zoomScale="90" zoomScaleNormal="90" zoomScalePageLayoutView="125" workbookViewId="0">
      <selection activeCell="E24" sqref="E24"/>
    </sheetView>
  </sheetViews>
  <sheetFormatPr defaultColWidth="11.42578125" defaultRowHeight="15"/>
  <cols>
    <col min="1" max="1" width="50" customWidth="1"/>
    <col min="2" max="2" width="13.85546875" customWidth="1"/>
    <col min="4" max="4" width="13.7109375" customWidth="1"/>
    <col min="5" max="5" width="14.28515625" customWidth="1"/>
  </cols>
  <sheetData>
    <row r="1" spans="1:10" ht="15.75">
      <c r="A1" s="272" t="s">
        <v>518</v>
      </c>
      <c r="B1" s="211"/>
      <c r="C1" s="211"/>
      <c r="D1" s="317" t="s">
        <v>570</v>
      </c>
      <c r="E1" s="211"/>
      <c r="F1" s="211"/>
      <c r="G1" s="211"/>
      <c r="H1" s="211"/>
    </row>
    <row r="2" spans="1:10" ht="15.75">
      <c r="A2" s="3"/>
      <c r="B2" s="211"/>
      <c r="C2" s="211" t="s">
        <v>3</v>
      </c>
      <c r="D2" s="211" t="s">
        <v>4</v>
      </c>
      <c r="E2" s="211" t="s">
        <v>5</v>
      </c>
      <c r="F2" s="211" t="s">
        <v>4</v>
      </c>
      <c r="G2" s="303" t="s">
        <v>519</v>
      </c>
      <c r="H2" s="3"/>
    </row>
    <row r="3" spans="1:10" ht="15.75">
      <c r="A3" s="272" t="s">
        <v>520</v>
      </c>
      <c r="B3" s="304" t="s">
        <v>521</v>
      </c>
      <c r="C3" s="304" t="s">
        <v>522</v>
      </c>
      <c r="D3" s="304" t="s">
        <v>523</v>
      </c>
      <c r="E3" s="304" t="s">
        <v>524</v>
      </c>
      <c r="F3" s="304" t="s">
        <v>525</v>
      </c>
      <c r="G3" s="304" t="s">
        <v>526</v>
      </c>
      <c r="H3" s="3"/>
    </row>
    <row r="4" spans="1:10" ht="15.75">
      <c r="A4" s="211" t="s">
        <v>527</v>
      </c>
      <c r="B4" s="305">
        <v>0.3</v>
      </c>
      <c r="C4" s="305" t="s">
        <v>163</v>
      </c>
      <c r="D4" s="305" t="s">
        <v>2</v>
      </c>
      <c r="E4" s="305" t="s">
        <v>163</v>
      </c>
      <c r="F4" s="305" t="s">
        <v>311</v>
      </c>
      <c r="G4" s="306">
        <f>AVERAGE(B4:F4)</f>
        <v>0.3</v>
      </c>
      <c r="H4" s="3"/>
    </row>
    <row r="5" spans="1:10" ht="15.75">
      <c r="A5" s="211" t="s">
        <v>528</v>
      </c>
      <c r="B5" s="305">
        <v>12</v>
      </c>
      <c r="C5" s="305" t="s">
        <v>311</v>
      </c>
      <c r="D5" s="305" t="s">
        <v>311</v>
      </c>
      <c r="E5" s="305" t="s">
        <v>311</v>
      </c>
      <c r="F5" s="305" t="s">
        <v>311</v>
      </c>
      <c r="G5" s="306">
        <f>AVERAGE(B5:F5)</f>
        <v>12</v>
      </c>
      <c r="H5" s="3"/>
    </row>
    <row r="6" spans="1:10" ht="15.75">
      <c r="A6" s="211" t="s">
        <v>529</v>
      </c>
      <c r="B6" s="305">
        <v>14</v>
      </c>
      <c r="C6" s="305" t="s">
        <v>311</v>
      </c>
      <c r="D6" s="305" t="s">
        <v>311</v>
      </c>
      <c r="E6" s="305" t="s">
        <v>311</v>
      </c>
      <c r="F6" s="305" t="s">
        <v>311</v>
      </c>
      <c r="G6" s="306">
        <f>AVERAGE(B6:F6)</f>
        <v>14</v>
      </c>
      <c r="H6" s="3"/>
    </row>
    <row r="7" spans="1:10" ht="15.75">
      <c r="A7" s="211" t="s">
        <v>530</v>
      </c>
      <c r="B7" s="305">
        <v>2.4</v>
      </c>
      <c r="C7" s="305" t="s">
        <v>311</v>
      </c>
      <c r="D7" s="305" t="s">
        <v>311</v>
      </c>
      <c r="E7" s="305" t="s">
        <v>311</v>
      </c>
      <c r="F7" s="305" t="s">
        <v>311</v>
      </c>
      <c r="G7" s="306">
        <f>AVERAGE(B7:F7)</f>
        <v>2.4</v>
      </c>
      <c r="H7" s="177" t="s">
        <v>531</v>
      </c>
    </row>
    <row r="8" spans="1:10" ht="16.5" thickBot="1">
      <c r="A8" s="211"/>
      <c r="B8" s="305"/>
      <c r="C8" s="305"/>
      <c r="D8" s="305"/>
      <c r="E8" s="305"/>
      <c r="F8" s="305"/>
      <c r="G8" s="306"/>
      <c r="H8" s="177" t="s">
        <v>532</v>
      </c>
    </row>
    <row r="9" spans="1:10" ht="15.75">
      <c r="A9" s="272" t="s">
        <v>533</v>
      </c>
      <c r="B9" s="305"/>
      <c r="C9" s="587" t="s">
        <v>745</v>
      </c>
      <c r="D9" s="305"/>
      <c r="E9" s="305"/>
      <c r="F9" s="305"/>
      <c r="G9" s="3"/>
      <c r="H9" s="177" t="s">
        <v>534</v>
      </c>
      <c r="I9" s="321" t="s">
        <v>582</v>
      </c>
      <c r="J9" s="322"/>
    </row>
    <row r="10" spans="1:10" ht="15.75">
      <c r="A10" s="307" t="s">
        <v>535</v>
      </c>
      <c r="B10" s="308">
        <v>2694</v>
      </c>
      <c r="C10" s="305"/>
      <c r="D10" s="305"/>
      <c r="E10" s="305"/>
      <c r="F10" s="305"/>
      <c r="G10" s="3"/>
      <c r="H10" s="3"/>
      <c r="I10" s="323" t="s">
        <v>585</v>
      </c>
      <c r="J10" s="324"/>
    </row>
    <row r="11" spans="1:10" ht="16.5" thickBot="1">
      <c r="A11" s="307" t="s">
        <v>539</v>
      </c>
      <c r="B11" s="308">
        <f>53+33</f>
        <v>86</v>
      </c>
      <c r="C11" s="320" t="s">
        <v>584</v>
      </c>
      <c r="E11" s="305"/>
      <c r="F11" s="305"/>
      <c r="G11" s="3"/>
      <c r="H11" s="177"/>
      <c r="I11" s="325" t="s">
        <v>586</v>
      </c>
      <c r="J11" s="326"/>
    </row>
    <row r="12" spans="1:10" ht="15.75">
      <c r="A12" s="307" t="s">
        <v>540</v>
      </c>
      <c r="B12" s="308">
        <v>44</v>
      </c>
      <c r="C12" s="305"/>
      <c r="D12" s="305"/>
      <c r="E12" s="305"/>
      <c r="F12" s="305"/>
      <c r="G12" s="3"/>
      <c r="H12" s="177"/>
    </row>
    <row r="13" spans="1:10" ht="15.75">
      <c r="A13" s="307" t="s">
        <v>541</v>
      </c>
      <c r="B13" s="308">
        <v>348</v>
      </c>
      <c r="C13" s="305"/>
      <c r="D13" s="305"/>
      <c r="E13" s="305"/>
      <c r="F13" s="305"/>
      <c r="G13" s="3"/>
      <c r="H13" s="177"/>
    </row>
    <row r="14" spans="1:10" ht="15.75">
      <c r="A14" s="307" t="s">
        <v>542</v>
      </c>
      <c r="B14" s="309">
        <v>10</v>
      </c>
      <c r="C14" s="320" t="s">
        <v>583</v>
      </c>
      <c r="D14" s="305"/>
      <c r="E14" s="305"/>
      <c r="F14" s="305"/>
      <c r="G14" s="3"/>
      <c r="H14" s="177"/>
    </row>
    <row r="15" spans="1:10" ht="15.75">
      <c r="A15" s="3"/>
      <c r="B15" s="3"/>
      <c r="C15" s="305"/>
      <c r="D15" s="305"/>
      <c r="E15" s="305"/>
      <c r="F15" s="305"/>
      <c r="G15" s="3"/>
      <c r="H15" s="177"/>
    </row>
    <row r="16" spans="1:10" ht="15.75">
      <c r="A16" s="211"/>
      <c r="B16" s="310" t="s">
        <v>543</v>
      </c>
      <c r="C16" s="310" t="s">
        <v>544</v>
      </c>
      <c r="D16" s="310" t="s">
        <v>545</v>
      </c>
      <c r="E16" s="310" t="s">
        <v>546</v>
      </c>
      <c r="F16" s="305"/>
      <c r="G16" s="306"/>
      <c r="H16" s="177"/>
    </row>
    <row r="17" spans="1:8" ht="15.75">
      <c r="A17" s="211"/>
      <c r="B17" s="303" t="s">
        <v>547</v>
      </c>
      <c r="C17" s="303" t="s">
        <v>519</v>
      </c>
      <c r="D17" s="311" t="s">
        <v>548</v>
      </c>
      <c r="E17" s="311" t="s">
        <v>549</v>
      </c>
      <c r="F17" s="320" t="s">
        <v>311</v>
      </c>
      <c r="G17" s="306"/>
      <c r="H17" s="177"/>
    </row>
    <row r="18" spans="1:8" ht="15.75">
      <c r="A18" s="272" t="s">
        <v>550</v>
      </c>
      <c r="B18" s="304" t="s">
        <v>551</v>
      </c>
      <c r="C18" s="304" t="s">
        <v>526</v>
      </c>
      <c r="D18" s="312" t="s">
        <v>552</v>
      </c>
      <c r="E18" s="312" t="s">
        <v>552</v>
      </c>
      <c r="F18" s="211" t="s">
        <v>311</v>
      </c>
      <c r="G18" s="211"/>
      <c r="H18" s="3"/>
    </row>
    <row r="19" spans="1:8" ht="15.75">
      <c r="A19" s="211" t="s">
        <v>553</v>
      </c>
      <c r="B19" s="306">
        <f>B10</f>
        <v>2694</v>
      </c>
      <c r="C19" s="306">
        <f>G4</f>
        <v>0.3</v>
      </c>
      <c r="D19" s="313">
        <f>B19*C19</f>
        <v>808.19999999999993</v>
      </c>
      <c r="E19" s="329">
        <f>D19/$B$14</f>
        <v>80.819999999999993</v>
      </c>
      <c r="F19" s="588" t="s">
        <v>746</v>
      </c>
      <c r="G19" s="211"/>
      <c r="H19" s="3"/>
    </row>
    <row r="20" spans="1:8" ht="15.75">
      <c r="A20" s="211" t="s">
        <v>554</v>
      </c>
      <c r="B20" s="306">
        <f>B11</f>
        <v>86</v>
      </c>
      <c r="C20" s="306">
        <f>G5</f>
        <v>12</v>
      </c>
      <c r="D20" s="313">
        <f>B20*C20</f>
        <v>1032</v>
      </c>
      <c r="E20" s="329">
        <f>D20/$B$14</f>
        <v>103.2</v>
      </c>
      <c r="F20" s="3"/>
      <c r="G20" s="211"/>
      <c r="H20" s="211"/>
    </row>
    <row r="21" spans="1:8" ht="15.75">
      <c r="A21" s="211" t="s">
        <v>555</v>
      </c>
      <c r="B21" s="306">
        <f>B12</f>
        <v>44</v>
      </c>
      <c r="C21" s="306">
        <f>G6</f>
        <v>14</v>
      </c>
      <c r="D21" s="313">
        <f>B21*C21</f>
        <v>616</v>
      </c>
      <c r="E21" s="329">
        <f>D21/$B$14</f>
        <v>61.6</v>
      </c>
      <c r="F21" s="3"/>
      <c r="G21" s="211"/>
      <c r="H21" s="211"/>
    </row>
    <row r="22" spans="1:8" ht="15.75">
      <c r="A22" s="211" t="s">
        <v>556</v>
      </c>
      <c r="B22" s="306">
        <f>B13</f>
        <v>348</v>
      </c>
      <c r="C22" s="306">
        <f>G7</f>
        <v>2.4</v>
      </c>
      <c r="D22" s="313">
        <f>B22*C22</f>
        <v>835.19999999999993</v>
      </c>
      <c r="E22" s="329">
        <f>D22/$B$14</f>
        <v>83.52</v>
      </c>
      <c r="F22" s="3"/>
      <c r="G22" s="211"/>
      <c r="H22" s="211"/>
    </row>
    <row r="23" spans="1:8" ht="15.75">
      <c r="A23" s="3"/>
      <c r="B23" s="3"/>
      <c r="C23" s="3"/>
      <c r="D23" s="3"/>
      <c r="E23" s="3"/>
      <c r="F23" s="3"/>
      <c r="G23" s="211"/>
      <c r="H23" s="211"/>
    </row>
    <row r="24" spans="1:8" ht="15.75">
      <c r="A24" s="314" t="s">
        <v>755</v>
      </c>
      <c r="B24" s="315"/>
      <c r="C24" s="315"/>
      <c r="D24" s="315"/>
      <c r="E24" s="315"/>
      <c r="F24" s="315"/>
      <c r="G24" s="315"/>
      <c r="H24" s="211"/>
    </row>
    <row r="25" spans="1:8" ht="15.75">
      <c r="A25" s="315" t="s">
        <v>747</v>
      </c>
      <c r="B25" s="595">
        <v>-665000</v>
      </c>
      <c r="C25" s="590" t="s">
        <v>752</v>
      </c>
      <c r="D25" s="315"/>
      <c r="E25" s="315"/>
      <c r="F25" s="315"/>
      <c r="G25" s="315"/>
      <c r="H25" s="211"/>
    </row>
    <row r="26" spans="1:8" ht="15.75">
      <c r="A26" s="315" t="s">
        <v>6</v>
      </c>
      <c r="B26" s="589">
        <v>535400</v>
      </c>
      <c r="C26" s="590" t="s">
        <v>753</v>
      </c>
      <c r="E26" s="315"/>
      <c r="F26" s="315"/>
      <c r="G26" s="315"/>
      <c r="H26" s="211"/>
    </row>
    <row r="27" spans="1:8" ht="15.75">
      <c r="A27" s="315" t="s">
        <v>557</v>
      </c>
      <c r="B27" s="589">
        <f>E19*10000</f>
        <v>808199.99999999988</v>
      </c>
      <c r="C27" s="590" t="s">
        <v>748</v>
      </c>
      <c r="D27" s="315"/>
      <c r="E27" s="315"/>
      <c r="F27" s="315" t="s">
        <v>311</v>
      </c>
      <c r="G27" s="315"/>
      <c r="H27" s="211"/>
    </row>
    <row r="28" spans="1:8" ht="15.75">
      <c r="A28" s="316" t="s">
        <v>558</v>
      </c>
      <c r="B28" s="589">
        <f t="shared" ref="B28:B30" si="0">E20*10000</f>
        <v>1032000</v>
      </c>
      <c r="C28" s="590" t="s">
        <v>749</v>
      </c>
      <c r="D28" s="315"/>
      <c r="E28" s="315"/>
      <c r="F28" s="315"/>
      <c r="G28" s="315"/>
      <c r="H28" s="211"/>
    </row>
    <row r="29" spans="1:8" ht="15.75">
      <c r="A29" s="316" t="s">
        <v>559</v>
      </c>
      <c r="B29" s="589">
        <f t="shared" si="0"/>
        <v>616000</v>
      </c>
      <c r="C29" s="590" t="s">
        <v>750</v>
      </c>
      <c r="D29" s="315" t="s">
        <v>311</v>
      </c>
      <c r="E29" s="315"/>
      <c r="F29" s="315"/>
      <c r="G29" s="315"/>
      <c r="H29" s="211"/>
    </row>
    <row r="30" spans="1:8" ht="15.75">
      <c r="A30" s="316" t="s">
        <v>560</v>
      </c>
      <c r="B30" s="589">
        <f t="shared" si="0"/>
        <v>835200</v>
      </c>
      <c r="C30" s="590" t="s">
        <v>751</v>
      </c>
      <c r="D30" s="315" t="s">
        <v>311</v>
      </c>
      <c r="E30" s="315"/>
      <c r="F30" s="315"/>
      <c r="G30" s="315"/>
      <c r="H30" s="211"/>
    </row>
    <row r="31" spans="1:8" ht="15.75">
      <c r="A31" s="315"/>
      <c r="B31" s="315"/>
      <c r="C31" s="315"/>
      <c r="D31" s="315"/>
      <c r="E31" s="315"/>
      <c r="F31" s="315"/>
      <c r="G31" s="315"/>
      <c r="H31" s="211"/>
    </row>
    <row r="32" spans="1:8" ht="15.75">
      <c r="A32" s="316" t="s">
        <v>561</v>
      </c>
      <c r="B32" s="327" t="s">
        <v>754</v>
      </c>
      <c r="C32" s="315"/>
      <c r="D32" s="315"/>
      <c r="E32" s="315"/>
      <c r="F32" s="315"/>
      <c r="G32" s="315"/>
      <c r="H32" s="211"/>
    </row>
    <row r="33" spans="1:8">
      <c r="A33" s="223"/>
      <c r="B33" s="223"/>
      <c r="C33" s="223"/>
      <c r="D33" s="223"/>
      <c r="E33" s="223"/>
      <c r="F33" s="223"/>
      <c r="G33" s="223"/>
      <c r="H33" s="223"/>
    </row>
    <row r="34" spans="1:8">
      <c r="A34" s="319" t="s">
        <v>579</v>
      </c>
      <c r="B34" s="223"/>
      <c r="C34" s="223"/>
      <c r="D34" s="223"/>
      <c r="E34" s="223"/>
      <c r="F34" s="223"/>
      <c r="G34" s="223"/>
      <c r="H34" s="223"/>
    </row>
    <row r="35" spans="1:8">
      <c r="A35" s="224" t="s">
        <v>756</v>
      </c>
      <c r="B35" s="223"/>
      <c r="C35" s="223"/>
      <c r="D35" s="223"/>
      <c r="E35" s="223"/>
      <c r="F35" s="223"/>
      <c r="G35" s="223"/>
      <c r="H35" s="223"/>
    </row>
    <row r="36" spans="1:8">
      <c r="A36" s="224" t="s">
        <v>25</v>
      </c>
      <c r="B36" s="223"/>
      <c r="C36" s="223"/>
      <c r="D36" s="223"/>
      <c r="E36" s="223"/>
      <c r="F36" s="223"/>
      <c r="G36" s="223"/>
      <c r="H36" s="223"/>
    </row>
    <row r="37" spans="1:8">
      <c r="A37" s="224" t="s">
        <v>760</v>
      </c>
      <c r="B37" s="223"/>
      <c r="C37" s="223"/>
      <c r="D37" s="223"/>
      <c r="E37" s="223"/>
      <c r="F37" s="223"/>
      <c r="G37" s="223"/>
      <c r="H37" s="223"/>
    </row>
    <row r="38" spans="1:8" ht="15.75" thickBot="1">
      <c r="A38" s="224" t="s">
        <v>577</v>
      </c>
      <c r="B38" s="223"/>
      <c r="C38" s="223"/>
      <c r="D38" s="223"/>
      <c r="E38" s="223"/>
      <c r="F38" s="223"/>
      <c r="G38" s="223"/>
      <c r="H38" s="223"/>
    </row>
    <row r="39" spans="1:8">
      <c r="A39" s="592"/>
      <c r="B39" s="217"/>
      <c r="C39" s="217"/>
      <c r="D39" s="217"/>
      <c r="E39" s="217"/>
      <c r="F39" s="217"/>
      <c r="G39" s="217"/>
      <c r="H39" s="218"/>
    </row>
    <row r="40" spans="1:8">
      <c r="A40" s="593"/>
      <c r="B40" s="219"/>
      <c r="C40" s="219"/>
      <c r="D40" s="219"/>
      <c r="E40" s="219"/>
      <c r="F40" s="219"/>
      <c r="G40" s="219"/>
      <c r="H40" s="220"/>
    </row>
    <row r="41" spans="1:8">
      <c r="A41" s="593"/>
      <c r="B41" s="219"/>
      <c r="C41" s="219"/>
      <c r="D41" s="219"/>
      <c r="E41" s="219"/>
      <c r="F41" s="219"/>
      <c r="G41" s="219"/>
      <c r="H41" s="220"/>
    </row>
    <row r="42" spans="1:8">
      <c r="A42" s="593"/>
      <c r="B42" s="219"/>
      <c r="C42" s="219"/>
      <c r="D42" s="219"/>
      <c r="E42" s="219"/>
      <c r="F42" s="219"/>
      <c r="G42" s="219"/>
      <c r="H42" s="220"/>
    </row>
    <row r="43" spans="1:8">
      <c r="A43" s="593"/>
      <c r="B43" s="219"/>
      <c r="C43" s="219"/>
      <c r="D43" s="219"/>
      <c r="E43" s="219"/>
      <c r="F43" s="219"/>
      <c r="G43" s="219"/>
      <c r="H43" s="220"/>
    </row>
    <row r="44" spans="1:8">
      <c r="A44" s="593"/>
      <c r="B44" s="219"/>
      <c r="C44" s="219"/>
      <c r="D44" s="219"/>
      <c r="E44" s="219"/>
      <c r="F44" s="219"/>
      <c r="G44" s="219"/>
      <c r="H44" s="220"/>
    </row>
    <row r="45" spans="1:8">
      <c r="A45" s="593"/>
      <c r="B45" s="219"/>
      <c r="C45" s="219"/>
      <c r="D45" s="219"/>
      <c r="E45" s="219"/>
      <c r="F45" s="219"/>
      <c r="G45" s="219"/>
      <c r="H45" s="220"/>
    </row>
    <row r="46" spans="1:8">
      <c r="A46" s="593"/>
      <c r="B46" s="219"/>
      <c r="C46" s="219"/>
      <c r="D46" s="219"/>
      <c r="E46" s="219"/>
      <c r="F46" s="219"/>
      <c r="G46" s="219"/>
      <c r="H46" s="220"/>
    </row>
    <row r="47" spans="1:8">
      <c r="A47" s="593"/>
      <c r="B47" s="219"/>
      <c r="C47" s="219"/>
      <c r="D47" s="219"/>
      <c r="E47" s="219"/>
      <c r="F47" s="219"/>
      <c r="G47" s="219"/>
      <c r="H47" s="220"/>
    </row>
    <row r="48" spans="1:8">
      <c r="A48" s="593"/>
      <c r="B48" s="219"/>
      <c r="C48" s="219"/>
      <c r="D48" s="219"/>
      <c r="E48" s="219"/>
      <c r="F48" s="219"/>
      <c r="G48" s="219"/>
      <c r="H48" s="220"/>
    </row>
    <row r="49" spans="1:8">
      <c r="A49" s="593"/>
      <c r="B49" s="219"/>
      <c r="C49" s="219"/>
      <c r="D49" s="219"/>
      <c r="E49" s="219"/>
      <c r="F49" s="219"/>
      <c r="G49" s="219"/>
      <c r="H49" s="220"/>
    </row>
    <row r="50" spans="1:8">
      <c r="A50" s="593"/>
      <c r="B50" s="219"/>
      <c r="C50" s="219"/>
      <c r="D50" s="219"/>
      <c r="E50" s="219"/>
      <c r="F50" s="219"/>
      <c r="G50" s="219"/>
      <c r="H50" s="220"/>
    </row>
    <row r="51" spans="1:8">
      <c r="A51" s="593"/>
      <c r="B51" s="219"/>
      <c r="C51" s="219"/>
      <c r="D51" s="219"/>
      <c r="E51" s="219"/>
      <c r="F51" s="219"/>
      <c r="G51" s="219"/>
      <c r="H51" s="220"/>
    </row>
    <row r="52" spans="1:8">
      <c r="A52" s="593"/>
      <c r="B52" s="219"/>
      <c r="C52" s="219"/>
      <c r="D52" s="219"/>
      <c r="E52" s="219"/>
      <c r="F52" s="219"/>
      <c r="G52" s="219"/>
      <c r="H52" s="220"/>
    </row>
    <row r="53" spans="1:8">
      <c r="A53" s="593"/>
      <c r="B53" s="219"/>
      <c r="C53" s="219"/>
      <c r="D53" s="219"/>
      <c r="E53" s="219"/>
      <c r="F53" s="219"/>
      <c r="G53" s="219"/>
      <c r="H53" s="220"/>
    </row>
    <row r="54" spans="1:8">
      <c r="A54" s="593"/>
      <c r="B54" s="219"/>
      <c r="C54" s="219"/>
      <c r="D54" s="219"/>
      <c r="E54" s="219"/>
      <c r="F54" s="219"/>
      <c r="G54" s="219"/>
      <c r="H54" s="220"/>
    </row>
    <row r="55" spans="1:8">
      <c r="A55" s="593"/>
      <c r="B55" s="219"/>
      <c r="C55" s="219"/>
      <c r="D55" s="219"/>
      <c r="E55" s="219"/>
      <c r="F55" s="219"/>
      <c r="G55" s="219"/>
      <c r="H55" s="220"/>
    </row>
    <row r="56" spans="1:8">
      <c r="A56" s="593"/>
      <c r="B56" s="219"/>
      <c r="C56" s="219"/>
      <c r="D56" s="219"/>
      <c r="E56" s="219"/>
      <c r="F56" s="219"/>
      <c r="G56" s="219"/>
      <c r="H56" s="220"/>
    </row>
    <row r="57" spans="1:8">
      <c r="A57" s="593"/>
      <c r="B57" s="219"/>
      <c r="C57" s="219"/>
      <c r="D57" s="219"/>
      <c r="E57" s="219"/>
      <c r="F57" s="219"/>
      <c r="G57" s="219"/>
      <c r="H57" s="220"/>
    </row>
    <row r="58" spans="1:8">
      <c r="A58" s="593"/>
      <c r="B58" s="219"/>
      <c r="C58" s="219"/>
      <c r="D58" s="219"/>
      <c r="E58" s="219"/>
      <c r="F58" s="219"/>
      <c r="G58" s="219"/>
      <c r="H58" s="220"/>
    </row>
    <row r="59" spans="1:8" ht="15.75" thickBot="1">
      <c r="A59" s="594"/>
      <c r="B59" s="221"/>
      <c r="C59" s="221"/>
      <c r="D59" s="221"/>
      <c r="E59" s="221"/>
      <c r="F59" s="221"/>
      <c r="G59" s="221"/>
      <c r="H59" s="222"/>
    </row>
    <row r="61" spans="1:8">
      <c r="A61" s="224" t="s">
        <v>580</v>
      </c>
      <c r="B61" s="223"/>
      <c r="C61" s="223"/>
      <c r="D61" s="223"/>
      <c r="E61" s="223"/>
      <c r="F61" s="223"/>
      <c r="G61" s="223"/>
      <c r="H61" s="223"/>
    </row>
    <row r="62" spans="1:8" ht="15.75" thickBot="1">
      <c r="A62" s="224" t="s">
        <v>759</v>
      </c>
      <c r="B62" s="223"/>
      <c r="C62" s="223"/>
      <c r="D62" s="223"/>
      <c r="E62" s="223"/>
      <c r="F62" s="223"/>
      <c r="G62" s="223"/>
      <c r="H62" s="223"/>
    </row>
    <row r="63" spans="1:8">
      <c r="A63" s="592"/>
      <c r="B63" s="217"/>
      <c r="C63" s="217"/>
      <c r="D63" s="217"/>
      <c r="E63" s="217"/>
      <c r="F63" s="217"/>
      <c r="G63" s="217"/>
      <c r="H63" s="218"/>
    </row>
    <row r="64" spans="1:8">
      <c r="A64" s="593"/>
      <c r="B64" s="219"/>
      <c r="C64" s="219"/>
      <c r="D64" s="219"/>
      <c r="E64" s="219"/>
      <c r="F64" s="219"/>
      <c r="G64" s="219"/>
      <c r="H64" s="220"/>
    </row>
    <row r="65" spans="1:8">
      <c r="A65" s="593"/>
      <c r="B65" s="219"/>
      <c r="C65" s="219"/>
      <c r="D65" s="219"/>
      <c r="E65" s="219"/>
      <c r="F65" s="219"/>
      <c r="G65" s="219"/>
      <c r="H65" s="220"/>
    </row>
    <row r="66" spans="1:8">
      <c r="A66" s="593"/>
      <c r="B66" s="219"/>
      <c r="C66" s="219"/>
      <c r="D66" s="219"/>
      <c r="E66" s="219"/>
      <c r="F66" s="219"/>
      <c r="G66" s="219"/>
      <c r="H66" s="220"/>
    </row>
    <row r="67" spans="1:8">
      <c r="A67" s="593"/>
      <c r="B67" s="219"/>
      <c r="C67" s="219"/>
      <c r="D67" s="219"/>
      <c r="E67" s="219"/>
      <c r="F67" s="219"/>
      <c r="G67" s="219"/>
      <c r="H67" s="220"/>
    </row>
    <row r="68" spans="1:8">
      <c r="A68" s="593"/>
      <c r="B68" s="219"/>
      <c r="C68" s="219"/>
      <c r="D68" s="219"/>
      <c r="E68" s="219"/>
      <c r="F68" s="219"/>
      <c r="G68" s="219"/>
      <c r="H68" s="220"/>
    </row>
    <row r="69" spans="1:8">
      <c r="A69" s="593"/>
      <c r="B69" s="219"/>
      <c r="C69" s="219"/>
      <c r="D69" s="219"/>
      <c r="E69" s="219"/>
      <c r="F69" s="219"/>
      <c r="G69" s="219"/>
      <c r="H69" s="220"/>
    </row>
    <row r="70" spans="1:8">
      <c r="A70" s="593"/>
      <c r="B70" s="219"/>
      <c r="C70" s="219"/>
      <c r="D70" s="219"/>
      <c r="E70" s="219"/>
      <c r="F70" s="219"/>
      <c r="G70" s="219"/>
      <c r="H70" s="220"/>
    </row>
    <row r="71" spans="1:8">
      <c r="A71" s="593"/>
      <c r="B71" s="219"/>
      <c r="C71" s="219"/>
      <c r="D71" s="219"/>
      <c r="E71" s="219"/>
      <c r="F71" s="219"/>
      <c r="G71" s="219"/>
      <c r="H71" s="220"/>
    </row>
    <row r="72" spans="1:8">
      <c r="A72" s="593"/>
      <c r="B72" s="219"/>
      <c r="C72" s="219"/>
      <c r="D72" s="219"/>
      <c r="E72" s="219"/>
      <c r="F72" s="219"/>
      <c r="G72" s="219"/>
      <c r="H72" s="220"/>
    </row>
    <row r="73" spans="1:8">
      <c r="A73" s="593"/>
      <c r="B73" s="219"/>
      <c r="C73" s="219"/>
      <c r="D73" s="219"/>
      <c r="E73" s="219"/>
      <c r="F73" s="219"/>
      <c r="G73" s="219"/>
      <c r="H73" s="220"/>
    </row>
    <row r="74" spans="1:8">
      <c r="A74" s="593"/>
      <c r="B74" s="219"/>
      <c r="C74" s="219"/>
      <c r="D74" s="219"/>
      <c r="E74" s="219"/>
      <c r="F74" s="219"/>
      <c r="G74" s="219"/>
      <c r="H74" s="220"/>
    </row>
    <row r="75" spans="1:8">
      <c r="A75" s="593"/>
      <c r="B75" s="219"/>
      <c r="C75" s="219"/>
      <c r="D75" s="219"/>
      <c r="E75" s="219"/>
      <c r="F75" s="219"/>
      <c r="G75" s="219"/>
      <c r="H75" s="220"/>
    </row>
    <row r="76" spans="1:8">
      <c r="A76" s="593"/>
      <c r="B76" s="219"/>
      <c r="C76" s="219"/>
      <c r="D76" s="219"/>
      <c r="E76" s="219"/>
      <c r="F76" s="219"/>
      <c r="G76" s="219"/>
      <c r="H76" s="220"/>
    </row>
    <row r="77" spans="1:8">
      <c r="A77" s="593"/>
      <c r="B77" s="219"/>
      <c r="C77" s="219"/>
      <c r="D77" s="219"/>
      <c r="E77" s="219"/>
      <c r="F77" s="219"/>
      <c r="G77" s="219"/>
      <c r="H77" s="220"/>
    </row>
    <row r="78" spans="1:8">
      <c r="A78" s="593"/>
      <c r="B78" s="219"/>
      <c r="C78" s="219"/>
      <c r="D78" s="219"/>
      <c r="E78" s="219"/>
      <c r="F78" s="219"/>
      <c r="G78" s="219"/>
      <c r="H78" s="220"/>
    </row>
    <row r="79" spans="1:8">
      <c r="A79" s="593"/>
      <c r="B79" s="219"/>
      <c r="C79" s="219"/>
      <c r="D79" s="219"/>
      <c r="E79" s="219"/>
      <c r="F79" s="219"/>
      <c r="G79" s="219"/>
      <c r="H79" s="220"/>
    </row>
    <row r="80" spans="1:8">
      <c r="A80" s="593"/>
      <c r="B80" s="219"/>
      <c r="C80" s="219"/>
      <c r="D80" s="219"/>
      <c r="E80" s="219"/>
      <c r="F80" s="219"/>
      <c r="G80" s="219"/>
      <c r="H80" s="220"/>
    </row>
    <row r="81" spans="1:8">
      <c r="A81" s="593"/>
      <c r="B81" s="219"/>
      <c r="C81" s="219"/>
      <c r="D81" s="219"/>
      <c r="E81" s="219"/>
      <c r="F81" s="219"/>
      <c r="G81" s="219"/>
      <c r="H81" s="220"/>
    </row>
    <row r="82" spans="1:8" ht="15.75" thickBot="1">
      <c r="A82" s="594"/>
      <c r="B82" s="221"/>
      <c r="C82" s="221"/>
      <c r="D82" s="221"/>
      <c r="E82" s="221"/>
      <c r="F82" s="221"/>
      <c r="G82" s="221"/>
      <c r="H82" s="222"/>
    </row>
    <row r="83" spans="1:8">
      <c r="A83" s="223"/>
      <c r="B83" s="223"/>
      <c r="C83" s="223"/>
      <c r="D83" s="223"/>
      <c r="E83" s="223"/>
      <c r="F83" s="223"/>
      <c r="G83" s="223"/>
      <c r="H83" s="223"/>
    </row>
    <row r="84" spans="1:8">
      <c r="A84" s="224" t="s">
        <v>581</v>
      </c>
      <c r="B84" s="223"/>
      <c r="C84" s="223"/>
      <c r="D84" s="223"/>
      <c r="E84" s="223"/>
      <c r="F84" s="223"/>
      <c r="G84" s="223"/>
      <c r="H84" s="223"/>
    </row>
    <row r="85" spans="1:8">
      <c r="A85" s="224" t="s">
        <v>538</v>
      </c>
      <c r="B85" s="223"/>
      <c r="C85" s="223"/>
      <c r="D85" s="223"/>
      <c r="E85" s="223"/>
      <c r="F85" s="223"/>
      <c r="G85" s="223"/>
      <c r="H85" s="223"/>
    </row>
    <row r="86" spans="1:8">
      <c r="A86" s="224" t="s">
        <v>757</v>
      </c>
      <c r="B86" s="223"/>
      <c r="C86" s="223"/>
      <c r="D86" s="223"/>
      <c r="E86" s="223"/>
      <c r="F86" s="223"/>
      <c r="G86" s="223"/>
      <c r="H86" s="223"/>
    </row>
    <row r="87" spans="1:8" ht="15.75" thickBot="1">
      <c r="A87" s="224" t="s">
        <v>758</v>
      </c>
      <c r="B87" s="223"/>
      <c r="C87" s="223"/>
      <c r="D87" s="223"/>
      <c r="E87" s="223"/>
      <c r="F87" s="223"/>
      <c r="G87" s="223"/>
      <c r="H87" s="223"/>
    </row>
    <row r="88" spans="1:8">
      <c r="A88" s="592"/>
      <c r="B88" s="217"/>
      <c r="C88" s="217"/>
      <c r="D88" s="217"/>
      <c r="E88" s="217"/>
      <c r="F88" s="217"/>
      <c r="G88" s="217"/>
      <c r="H88" s="218"/>
    </row>
    <row r="89" spans="1:8">
      <c r="A89" s="593"/>
      <c r="B89" s="219"/>
      <c r="C89" s="219"/>
      <c r="D89" s="219"/>
      <c r="E89" s="219"/>
      <c r="F89" s="219"/>
      <c r="G89" s="219"/>
      <c r="H89" s="220"/>
    </row>
    <row r="90" spans="1:8">
      <c r="A90" s="593"/>
      <c r="B90" s="219"/>
      <c r="C90" s="219"/>
      <c r="D90" s="219"/>
      <c r="E90" s="219"/>
      <c r="F90" s="219"/>
      <c r="G90" s="219"/>
      <c r="H90" s="220"/>
    </row>
    <row r="91" spans="1:8">
      <c r="A91" s="593"/>
      <c r="B91" s="219"/>
      <c r="C91" s="219"/>
      <c r="D91" s="219"/>
      <c r="E91" s="219"/>
      <c r="F91" s="219"/>
      <c r="G91" s="219"/>
      <c r="H91" s="220"/>
    </row>
    <row r="92" spans="1:8">
      <c r="A92" s="593"/>
      <c r="B92" s="219"/>
      <c r="C92" s="219"/>
      <c r="D92" s="219"/>
      <c r="E92" s="219"/>
      <c r="F92" s="219"/>
      <c r="G92" s="219"/>
      <c r="H92" s="220"/>
    </row>
    <row r="93" spans="1:8">
      <c r="A93" s="593"/>
      <c r="B93" s="219"/>
      <c r="C93" s="219"/>
      <c r="D93" s="219"/>
      <c r="E93" s="219"/>
      <c r="F93" s="219"/>
      <c r="G93" s="219"/>
      <c r="H93" s="220"/>
    </row>
    <row r="94" spans="1:8">
      <c r="A94" s="593"/>
      <c r="B94" s="219"/>
      <c r="C94" s="219"/>
      <c r="D94" s="219"/>
      <c r="E94" s="219"/>
      <c r="F94" s="219"/>
      <c r="G94" s="219"/>
      <c r="H94" s="220"/>
    </row>
    <row r="95" spans="1:8">
      <c r="A95" s="593"/>
      <c r="B95" s="219"/>
      <c r="C95" s="219"/>
      <c r="D95" s="219"/>
      <c r="E95" s="219"/>
      <c r="F95" s="219"/>
      <c r="G95" s="219"/>
      <c r="H95" s="220"/>
    </row>
    <row r="96" spans="1:8">
      <c r="A96" s="593"/>
      <c r="B96" s="219"/>
      <c r="C96" s="219"/>
      <c r="D96" s="219"/>
      <c r="E96" s="219"/>
      <c r="F96" s="219"/>
      <c r="G96" s="219"/>
      <c r="H96" s="220"/>
    </row>
    <row r="97" spans="1:8">
      <c r="A97" s="593"/>
      <c r="B97" s="219"/>
      <c r="C97" s="219"/>
      <c r="D97" s="219"/>
      <c r="E97" s="219"/>
      <c r="F97" s="219"/>
      <c r="G97" s="219"/>
      <c r="H97" s="220"/>
    </row>
    <row r="98" spans="1:8">
      <c r="A98" s="593"/>
      <c r="B98" s="219"/>
      <c r="C98" s="219"/>
      <c r="D98" s="219"/>
      <c r="E98" s="219"/>
      <c r="F98" s="219"/>
      <c r="G98" s="219"/>
      <c r="H98" s="220"/>
    </row>
    <row r="99" spans="1:8">
      <c r="A99" s="593"/>
      <c r="B99" s="219"/>
      <c r="C99" s="219"/>
      <c r="D99" s="219"/>
      <c r="E99" s="219"/>
      <c r="F99" s="219"/>
      <c r="G99" s="219"/>
      <c r="H99" s="220"/>
    </row>
    <row r="100" spans="1:8">
      <c r="A100" s="593"/>
      <c r="B100" s="219"/>
      <c r="C100" s="219"/>
      <c r="D100" s="219"/>
      <c r="E100" s="219"/>
      <c r="F100" s="219"/>
      <c r="G100" s="219"/>
      <c r="H100" s="220"/>
    </row>
    <row r="101" spans="1:8">
      <c r="A101" s="593"/>
      <c r="B101" s="219"/>
      <c r="C101" s="219"/>
      <c r="D101" s="219"/>
      <c r="E101" s="219"/>
      <c r="F101" s="219"/>
      <c r="G101" s="219"/>
      <c r="H101" s="220"/>
    </row>
    <row r="102" spans="1:8">
      <c r="A102" s="593"/>
      <c r="B102" s="219"/>
      <c r="C102" s="219"/>
      <c r="D102" s="219"/>
      <c r="E102" s="219"/>
      <c r="F102" s="219"/>
      <c r="G102" s="219"/>
      <c r="H102" s="220"/>
    </row>
    <row r="103" spans="1:8">
      <c r="A103" s="593"/>
      <c r="B103" s="219"/>
      <c r="C103" s="219"/>
      <c r="D103" s="219"/>
      <c r="E103" s="219"/>
      <c r="F103" s="219"/>
      <c r="G103" s="219"/>
      <c r="H103" s="220"/>
    </row>
    <row r="104" spans="1:8">
      <c r="A104" s="593"/>
      <c r="B104" s="219"/>
      <c r="C104" s="219"/>
      <c r="D104" s="219"/>
      <c r="E104" s="219"/>
      <c r="F104" s="219"/>
      <c r="G104" s="219"/>
      <c r="H104" s="220"/>
    </row>
    <row r="105" spans="1:8">
      <c r="A105" s="593"/>
      <c r="B105" s="219"/>
      <c r="C105" s="219"/>
      <c r="D105" s="219"/>
      <c r="E105" s="219"/>
      <c r="F105" s="219"/>
      <c r="G105" s="219"/>
      <c r="H105" s="220"/>
    </row>
    <row r="106" spans="1:8">
      <c r="A106" s="593"/>
      <c r="B106" s="219"/>
      <c r="C106" s="219"/>
      <c r="D106" s="219"/>
      <c r="E106" s="219"/>
      <c r="F106" s="219"/>
      <c r="G106" s="219"/>
      <c r="H106" s="220"/>
    </row>
    <row r="107" spans="1:8">
      <c r="A107" s="593"/>
      <c r="B107" s="219"/>
      <c r="C107" s="219"/>
      <c r="D107" s="219"/>
      <c r="E107" s="219"/>
      <c r="F107" s="219"/>
      <c r="G107" s="219"/>
      <c r="H107" s="220"/>
    </row>
    <row r="108" spans="1:8">
      <c r="A108" s="593"/>
      <c r="B108" s="219"/>
      <c r="C108" s="219"/>
      <c r="D108" s="219"/>
      <c r="E108" s="219"/>
      <c r="F108" s="219"/>
      <c r="G108" s="219"/>
      <c r="H108" s="220"/>
    </row>
    <row r="109" spans="1:8" ht="15.75" thickBot="1">
      <c r="A109" s="594"/>
      <c r="B109" s="221"/>
      <c r="C109" s="221"/>
      <c r="D109" s="221"/>
      <c r="E109" s="221"/>
      <c r="F109" s="221"/>
      <c r="G109" s="221"/>
      <c r="H109" s="222"/>
    </row>
  </sheetData>
  <phoneticPr fontId="9" type="noConversion"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67"/>
  <sheetViews>
    <sheetView zoomScale="125" workbookViewId="0"/>
  </sheetViews>
  <sheetFormatPr defaultColWidth="8.85546875" defaultRowHeight="12.75"/>
  <cols>
    <col min="1" max="1" width="19.7109375" style="332" customWidth="1"/>
    <col min="2" max="2" width="10.140625" style="332" customWidth="1"/>
    <col min="3" max="3" width="11.7109375" style="332" customWidth="1"/>
    <col min="4" max="4" width="11.28515625" style="332" customWidth="1"/>
    <col min="5" max="5" width="12.7109375" style="332" customWidth="1"/>
    <col min="6" max="6" width="29.85546875" style="332" customWidth="1"/>
    <col min="7" max="7" width="17.28515625" style="332" customWidth="1"/>
    <col min="8" max="8" width="13.42578125" style="332" customWidth="1"/>
    <col min="9" max="16384" width="8.85546875" style="332"/>
  </cols>
  <sheetData>
    <row r="1" spans="1:7">
      <c r="A1" s="83" t="s">
        <v>675</v>
      </c>
    </row>
    <row r="2" spans="1:7">
      <c r="A2" s="400" t="s">
        <v>765</v>
      </c>
    </row>
    <row r="3" spans="1:7" ht="15">
      <c r="A3" s="333" t="s">
        <v>676</v>
      </c>
      <c r="B3" s="334"/>
    </row>
    <row r="5" spans="1:7" ht="15">
      <c r="A5" t="s">
        <v>677</v>
      </c>
    </row>
    <row r="6" spans="1:7" ht="15">
      <c r="A6" t="s">
        <v>678</v>
      </c>
    </row>
    <row r="8" spans="1:7">
      <c r="B8" s="335" t="s">
        <v>679</v>
      </c>
      <c r="C8" s="336"/>
      <c r="D8" s="337" t="s">
        <v>680</v>
      </c>
      <c r="E8" s="338"/>
    </row>
    <row r="9" spans="1:7">
      <c r="A9" s="339" t="s">
        <v>632</v>
      </c>
      <c r="B9" s="340">
        <v>0.06</v>
      </c>
      <c r="C9" s="341"/>
      <c r="D9" s="340">
        <v>0.08</v>
      </c>
      <c r="E9" s="342"/>
    </row>
    <row r="10" spans="1:7">
      <c r="A10" s="339" t="s">
        <v>681</v>
      </c>
      <c r="B10" s="340">
        <v>0.17</v>
      </c>
      <c r="C10" s="341"/>
      <c r="D10" s="340">
        <v>0.17</v>
      </c>
      <c r="E10" s="342"/>
    </row>
    <row r="11" spans="1:7">
      <c r="A11" s="339"/>
      <c r="B11" s="343"/>
      <c r="C11" s="344"/>
      <c r="D11" s="343"/>
      <c r="E11" s="342"/>
    </row>
    <row r="12" spans="1:7">
      <c r="A12" s="339" t="s">
        <v>628</v>
      </c>
      <c r="B12" s="345">
        <v>585</v>
      </c>
      <c r="C12" s="346"/>
      <c r="D12" s="345">
        <v>100</v>
      </c>
      <c r="E12" s="347"/>
    </row>
    <row r="13" spans="1:7">
      <c r="A13" s="339" t="s">
        <v>234</v>
      </c>
      <c r="B13" s="348">
        <v>348</v>
      </c>
      <c r="C13" s="346"/>
      <c r="D13" s="348">
        <v>833</v>
      </c>
      <c r="E13" s="347"/>
    </row>
    <row r="14" spans="1:7">
      <c r="A14" s="339" t="s">
        <v>627</v>
      </c>
      <c r="B14" s="339">
        <f>B12+B13</f>
        <v>933</v>
      </c>
      <c r="C14" s="346"/>
      <c r="D14" s="339">
        <f>D12+D13</f>
        <v>933</v>
      </c>
      <c r="E14" s="342"/>
    </row>
    <row r="15" spans="1:7">
      <c r="A15" s="339"/>
      <c r="B15" s="339"/>
      <c r="C15" s="346"/>
      <c r="D15" s="339"/>
      <c r="E15" s="342"/>
    </row>
    <row r="16" spans="1:7">
      <c r="A16" s="339" t="s">
        <v>626</v>
      </c>
      <c r="B16" s="345">
        <v>86</v>
      </c>
      <c r="C16" s="346"/>
      <c r="D16" s="345">
        <v>86</v>
      </c>
      <c r="E16" s="347"/>
      <c r="G16" s="349" t="s">
        <v>311</v>
      </c>
    </row>
    <row r="17" spans="1:8">
      <c r="A17" s="339" t="s">
        <v>625</v>
      </c>
      <c r="B17" s="350">
        <f>B9*B12</f>
        <v>35.1</v>
      </c>
      <c r="C17" s="346" t="s">
        <v>682</v>
      </c>
      <c r="D17" s="350">
        <f>D9*D12</f>
        <v>8</v>
      </c>
      <c r="E17" s="342"/>
    </row>
    <row r="18" spans="1:8">
      <c r="A18" s="339" t="s">
        <v>246</v>
      </c>
      <c r="B18" s="339">
        <f>B16-B17</f>
        <v>50.9</v>
      </c>
      <c r="C18" s="346" t="s">
        <v>682</v>
      </c>
      <c r="D18" s="339">
        <f>D16-D17</f>
        <v>78</v>
      </c>
      <c r="E18" s="342"/>
    </row>
    <row r="19" spans="1:8">
      <c r="A19" s="339" t="s">
        <v>683</v>
      </c>
      <c r="B19" s="351">
        <f>B10*B18</f>
        <v>8.6530000000000005</v>
      </c>
      <c r="C19" s="352" t="s">
        <v>684</v>
      </c>
      <c r="D19" s="351">
        <f>D10*D18</f>
        <v>13.260000000000002</v>
      </c>
      <c r="E19" s="342"/>
    </row>
    <row r="20" spans="1:8">
      <c r="A20" s="339" t="s">
        <v>244</v>
      </c>
      <c r="B20" s="353">
        <f>B18-B19</f>
        <v>42.247</v>
      </c>
      <c r="C20" s="352"/>
      <c r="D20" s="353">
        <f>D18-D19</f>
        <v>64.739999999999995</v>
      </c>
      <c r="E20" s="342"/>
    </row>
    <row r="21" spans="1:8">
      <c r="A21" s="339"/>
      <c r="B21" s="339"/>
      <c r="C21" s="346"/>
      <c r="D21" s="339"/>
      <c r="E21" s="342"/>
    </row>
    <row r="22" spans="1:8">
      <c r="A22" s="339"/>
      <c r="B22" s="354" t="s">
        <v>624</v>
      </c>
      <c r="C22" s="355" t="s">
        <v>623</v>
      </c>
      <c r="D22" s="354" t="s">
        <v>624</v>
      </c>
      <c r="E22" s="356" t="s">
        <v>623</v>
      </c>
      <c r="G22" s="357" t="s">
        <v>622</v>
      </c>
      <c r="H22" s="357" t="s">
        <v>621</v>
      </c>
    </row>
    <row r="23" spans="1:8" ht="15">
      <c r="A23" s="339" t="s">
        <v>620</v>
      </c>
      <c r="B23" s="358">
        <f>B20/B13</f>
        <v>0.12139942528735632</v>
      </c>
      <c r="C23" s="359" t="s">
        <v>685</v>
      </c>
      <c r="D23" s="358">
        <f>D20/D13</f>
        <v>7.7719087635054016E-2</v>
      </c>
      <c r="E23" s="360" t="s">
        <v>686</v>
      </c>
      <c r="F23" s="332" t="s">
        <v>619</v>
      </c>
      <c r="G23" s="332" t="s">
        <v>244</v>
      </c>
      <c r="H23" s="332" t="s">
        <v>618</v>
      </c>
    </row>
    <row r="24" spans="1:8" ht="15">
      <c r="A24" s="339" t="s">
        <v>617</v>
      </c>
      <c r="B24" s="358">
        <f>B20/B14</f>
        <v>4.5280814576634514E-2</v>
      </c>
      <c r="C24" s="359" t="s">
        <v>710</v>
      </c>
      <c r="D24" s="358">
        <f>D20/D14</f>
        <v>6.938906752411575E-2</v>
      </c>
      <c r="E24" s="360" t="s">
        <v>616</v>
      </c>
      <c r="F24" s="332" t="s">
        <v>615</v>
      </c>
      <c r="G24" s="332" t="s">
        <v>244</v>
      </c>
      <c r="H24" s="332" t="s">
        <v>611</v>
      </c>
    </row>
    <row r="25" spans="1:8" ht="15">
      <c r="A25" s="350" t="s">
        <v>614</v>
      </c>
      <c r="B25" s="361">
        <f>B16*(1-B10)/B14</f>
        <v>7.6505894962486595E-2</v>
      </c>
      <c r="C25" s="362" t="s">
        <v>711</v>
      </c>
      <c r="D25" s="361">
        <f>D16*(1-D10)/D14</f>
        <v>7.6505894962486595E-2</v>
      </c>
      <c r="E25" s="363" t="s">
        <v>711</v>
      </c>
      <c r="F25" s="332" t="s">
        <v>613</v>
      </c>
      <c r="G25" s="332" t="s">
        <v>612</v>
      </c>
      <c r="H25" s="332" t="s">
        <v>611</v>
      </c>
    </row>
    <row r="27" spans="1:8" ht="13.5" thickBot="1">
      <c r="A27" s="364" t="s">
        <v>610</v>
      </c>
      <c r="B27" s="334"/>
      <c r="C27" s="334"/>
      <c r="D27" s="334"/>
      <c r="E27" s="334"/>
      <c r="F27" s="334"/>
    </row>
    <row r="28" spans="1:8">
      <c r="A28" s="365" t="s">
        <v>609</v>
      </c>
      <c r="B28" s="366"/>
      <c r="C28" s="366"/>
      <c r="D28" s="366"/>
      <c r="E28" s="366"/>
      <c r="F28" s="366"/>
      <c r="G28" s="367"/>
    </row>
    <row r="29" spans="1:8">
      <c r="A29" s="368" t="s">
        <v>608</v>
      </c>
      <c r="B29" s="346"/>
      <c r="C29" s="346"/>
      <c r="D29" s="346"/>
      <c r="E29" s="346"/>
      <c r="F29" s="346"/>
      <c r="G29" s="369"/>
    </row>
    <row r="30" spans="1:8">
      <c r="A30" s="368" t="s">
        <v>607</v>
      </c>
      <c r="B30" s="346"/>
      <c r="C30" s="346"/>
      <c r="D30" s="346"/>
      <c r="E30" s="346"/>
      <c r="F30" s="346"/>
      <c r="G30" s="369"/>
    </row>
    <row r="31" spans="1:8">
      <c r="A31" s="368"/>
      <c r="B31" s="346"/>
      <c r="C31" s="346"/>
      <c r="D31" s="346"/>
      <c r="E31" s="346"/>
      <c r="F31" s="346"/>
      <c r="G31" s="369"/>
    </row>
    <row r="32" spans="1:8">
      <c r="A32" s="368" t="s">
        <v>606</v>
      </c>
      <c r="B32" s="346"/>
      <c r="C32" s="346"/>
      <c r="D32" s="346"/>
      <c r="E32" s="346"/>
      <c r="F32" s="346"/>
      <c r="G32" s="369"/>
    </row>
    <row r="33" spans="1:7">
      <c r="A33" s="368" t="s">
        <v>605</v>
      </c>
      <c r="B33" s="346"/>
      <c r="C33" s="346"/>
      <c r="D33" s="346"/>
      <c r="E33" s="346"/>
      <c r="F33" s="346"/>
      <c r="G33" s="369"/>
    </row>
    <row r="34" spans="1:7">
      <c r="A34" s="368" t="s">
        <v>604</v>
      </c>
      <c r="B34" s="346"/>
      <c r="C34" s="346"/>
      <c r="D34" s="346"/>
      <c r="E34" s="346"/>
      <c r="F34" s="346"/>
      <c r="G34" s="369"/>
    </row>
    <row r="35" spans="1:7">
      <c r="A35" s="368" t="s">
        <v>712</v>
      </c>
      <c r="B35" s="346"/>
      <c r="C35" s="346"/>
      <c r="D35" s="346"/>
      <c r="E35" s="346"/>
      <c r="F35" s="346"/>
      <c r="G35" s="369"/>
    </row>
    <row r="36" spans="1:7">
      <c r="A36" s="368" t="s">
        <v>665</v>
      </c>
      <c r="B36" s="346"/>
      <c r="C36" s="346"/>
      <c r="D36" s="346"/>
      <c r="E36" s="346"/>
      <c r="F36" s="346"/>
      <c r="G36" s="369"/>
    </row>
    <row r="37" spans="1:7" ht="13.5" thickBot="1">
      <c r="A37" s="370" t="s">
        <v>664</v>
      </c>
      <c r="B37" s="371"/>
      <c r="C37" s="371"/>
      <c r="D37" s="371"/>
      <c r="E37" s="371"/>
      <c r="F37" s="371"/>
      <c r="G37" s="372"/>
    </row>
    <row r="38" spans="1:7" ht="13.5" thickBot="1">
      <c r="A38" s="364" t="s">
        <v>713</v>
      </c>
      <c r="B38" s="334"/>
      <c r="C38" s="334"/>
      <c r="D38" s="334"/>
      <c r="E38" s="334"/>
      <c r="F38" s="334"/>
    </row>
    <row r="39" spans="1:7">
      <c r="A39" s="365" t="s">
        <v>663</v>
      </c>
      <c r="B39" s="366"/>
      <c r="C39" s="366"/>
      <c r="D39" s="366"/>
      <c r="E39" s="366"/>
      <c r="F39" s="366"/>
      <c r="G39" s="367"/>
    </row>
    <row r="40" spans="1:7">
      <c r="A40" s="368" t="s">
        <v>662</v>
      </c>
      <c r="B40" s="346"/>
      <c r="C40" s="346"/>
      <c r="D40" s="346"/>
      <c r="E40" s="346"/>
      <c r="F40" s="346"/>
      <c r="G40" s="369"/>
    </row>
    <row r="41" spans="1:7">
      <c r="A41" s="373"/>
      <c r="B41" s="346"/>
      <c r="C41" s="346"/>
      <c r="D41" s="346"/>
      <c r="E41" s="346"/>
      <c r="F41" s="346"/>
      <c r="G41" s="369"/>
    </row>
    <row r="42" spans="1:7">
      <c r="A42" s="374" t="s">
        <v>603</v>
      </c>
      <c r="B42" s="346"/>
      <c r="C42" s="346"/>
      <c r="D42" s="346"/>
      <c r="E42" s="346"/>
      <c r="F42" s="346"/>
      <c r="G42" s="369"/>
    </row>
    <row r="43" spans="1:7">
      <c r="A43" s="374" t="s">
        <v>602</v>
      </c>
      <c r="B43" s="346"/>
      <c r="C43" s="346"/>
      <c r="D43" s="346"/>
      <c r="E43" s="346"/>
      <c r="F43" s="346"/>
      <c r="G43" s="369"/>
    </row>
    <row r="44" spans="1:7">
      <c r="A44" s="373"/>
      <c r="B44" s="346"/>
      <c r="C44" s="346"/>
      <c r="D44" s="346"/>
      <c r="E44" s="346"/>
      <c r="F44" s="346"/>
      <c r="G44" s="369"/>
    </row>
    <row r="45" spans="1:7">
      <c r="A45" s="373"/>
      <c r="B45" s="346"/>
      <c r="C45" s="346"/>
      <c r="D45" s="346"/>
      <c r="E45" s="346"/>
      <c r="F45" s="346"/>
      <c r="G45" s="369"/>
    </row>
    <row r="46" spans="1:7">
      <c r="A46" s="368"/>
      <c r="B46" s="346"/>
      <c r="C46" s="346"/>
      <c r="D46" s="346"/>
      <c r="E46" s="346"/>
      <c r="F46" s="346"/>
      <c r="G46" s="369"/>
    </row>
    <row r="47" spans="1:7">
      <c r="A47" s="368"/>
      <c r="B47" s="346"/>
      <c r="C47" s="346"/>
      <c r="D47" s="346"/>
      <c r="E47" s="346"/>
      <c r="F47" s="346"/>
      <c r="G47" s="369"/>
    </row>
    <row r="48" spans="1:7" ht="13.5" thickBot="1">
      <c r="A48" s="370"/>
      <c r="B48" s="371"/>
      <c r="C48" s="371"/>
      <c r="D48" s="371"/>
      <c r="E48" s="371"/>
      <c r="F48" s="371"/>
      <c r="G48" s="372"/>
    </row>
    <row r="49" spans="1:7" ht="13.5" thickBot="1">
      <c r="A49" s="364" t="s">
        <v>666</v>
      </c>
      <c r="B49" s="334"/>
      <c r="C49" s="334"/>
      <c r="D49" s="334"/>
      <c r="E49" s="334"/>
      <c r="F49" s="334"/>
    </row>
    <row r="50" spans="1:7">
      <c r="A50" s="365" t="s">
        <v>601</v>
      </c>
      <c r="B50" s="366"/>
      <c r="C50" s="366"/>
      <c r="D50" s="366"/>
      <c r="E50" s="366"/>
      <c r="F50" s="366"/>
      <c r="G50" s="367"/>
    </row>
    <row r="51" spans="1:7">
      <c r="A51" s="368" t="s">
        <v>600</v>
      </c>
      <c r="B51" s="346"/>
      <c r="C51" s="346"/>
      <c r="D51" s="346"/>
      <c r="E51" s="346"/>
      <c r="F51" s="346"/>
      <c r="G51" s="369"/>
    </row>
    <row r="52" spans="1:7">
      <c r="A52" s="368" t="s">
        <v>599</v>
      </c>
      <c r="B52" s="346"/>
      <c r="C52" s="346"/>
      <c r="D52" s="346"/>
      <c r="E52" s="346"/>
      <c r="F52" s="346"/>
      <c r="G52" s="369"/>
    </row>
    <row r="53" spans="1:7">
      <c r="A53" s="368" t="s">
        <v>598</v>
      </c>
      <c r="B53" s="346"/>
      <c r="C53" s="346"/>
      <c r="D53" s="346"/>
      <c r="E53" s="346"/>
      <c r="F53" s="346"/>
      <c r="G53" s="369"/>
    </row>
    <row r="54" spans="1:7">
      <c r="A54" s="368"/>
      <c r="B54" s="346"/>
      <c r="C54" s="346"/>
      <c r="D54" s="346"/>
      <c r="E54" s="346"/>
      <c r="F54" s="346"/>
      <c r="G54" s="369"/>
    </row>
    <row r="55" spans="1:7">
      <c r="A55" s="368" t="s">
        <v>597</v>
      </c>
      <c r="B55" s="346"/>
      <c r="C55" s="346"/>
      <c r="D55" s="346"/>
      <c r="E55" s="346"/>
      <c r="F55" s="346"/>
      <c r="G55" s="369"/>
    </row>
    <row r="56" spans="1:7">
      <c r="A56" s="368" t="s">
        <v>596</v>
      </c>
      <c r="B56" s="346"/>
      <c r="C56" s="346"/>
      <c r="D56" s="346"/>
      <c r="E56" s="346"/>
      <c r="F56" s="346"/>
      <c r="G56" s="369"/>
    </row>
    <row r="57" spans="1:7">
      <c r="A57" s="368"/>
      <c r="B57" s="346"/>
      <c r="C57" s="346"/>
      <c r="D57" s="346"/>
      <c r="E57" s="346"/>
      <c r="F57" s="346"/>
      <c r="G57" s="369"/>
    </row>
    <row r="58" spans="1:7">
      <c r="A58" s="368"/>
      <c r="B58" s="346"/>
      <c r="C58" s="346"/>
      <c r="D58" s="346"/>
      <c r="E58" s="346"/>
      <c r="F58" s="346"/>
      <c r="G58" s="369"/>
    </row>
    <row r="59" spans="1:7">
      <c r="A59" s="368"/>
      <c r="B59" s="346"/>
      <c r="C59" s="346"/>
      <c r="D59" s="346"/>
      <c r="E59" s="346"/>
      <c r="F59" s="346"/>
      <c r="G59" s="369"/>
    </row>
    <row r="60" spans="1:7" ht="13.5" thickBot="1">
      <c r="A60" s="370"/>
      <c r="B60" s="371"/>
      <c r="C60" s="371"/>
      <c r="D60" s="371"/>
      <c r="E60" s="371"/>
      <c r="F60" s="371"/>
      <c r="G60" s="372"/>
    </row>
    <row r="62" spans="1:7">
      <c r="A62" s="375" t="s">
        <v>595</v>
      </c>
      <c r="B62" s="376"/>
      <c r="C62" s="376"/>
      <c r="D62" s="376"/>
      <c r="E62" s="376"/>
      <c r="F62" s="377"/>
    </row>
    <row r="63" spans="1:7">
      <c r="A63" s="378" t="s">
        <v>667</v>
      </c>
      <c r="B63" s="379" t="s">
        <v>594</v>
      </c>
      <c r="C63" s="379"/>
      <c r="D63" s="379"/>
      <c r="E63" s="379"/>
      <c r="F63" s="380"/>
    </row>
    <row r="64" spans="1:7">
      <c r="A64" s="378" t="s">
        <v>668</v>
      </c>
      <c r="B64" s="379" t="s">
        <v>593</v>
      </c>
      <c r="C64" s="379"/>
      <c r="D64" s="379"/>
      <c r="E64" s="379"/>
      <c r="F64" s="380"/>
    </row>
    <row r="65" spans="1:6">
      <c r="A65" s="378" t="s">
        <v>669</v>
      </c>
      <c r="B65" s="379" t="s">
        <v>592</v>
      </c>
      <c r="C65" s="379"/>
      <c r="D65" s="379"/>
      <c r="E65" s="379"/>
      <c r="F65" s="380"/>
    </row>
    <row r="66" spans="1:6">
      <c r="C66" s="379"/>
      <c r="D66" s="379"/>
      <c r="E66" s="379"/>
      <c r="F66" s="380"/>
    </row>
    <row r="67" spans="1:6">
      <c r="A67" s="381" t="s">
        <v>630</v>
      </c>
      <c r="B67" s="382" t="s">
        <v>629</v>
      </c>
      <c r="C67" s="382"/>
      <c r="D67" s="382"/>
      <c r="E67" s="382"/>
      <c r="F67" s="383"/>
    </row>
  </sheetData>
  <phoneticPr fontId="9" type="noConversion"/>
  <printOptions headings="1"/>
  <pageMargins left="0.75" right="0.75" top="1" bottom="1" header="0.5" footer="0.5"/>
  <pageSetup scale="63" orientation="portrait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250"/>
  <sheetViews>
    <sheetView zoomScale="125" zoomScaleNormal="125" zoomScalePageLayoutView="125" workbookViewId="0"/>
  </sheetViews>
  <sheetFormatPr defaultColWidth="8.85546875" defaultRowHeight="12.75"/>
  <cols>
    <col min="1" max="1" width="31.140625" style="332" customWidth="1"/>
    <col min="2" max="2" width="5.28515625" style="332" hidden="1" customWidth="1"/>
    <col min="3" max="3" width="4.85546875" style="332" hidden="1" customWidth="1"/>
    <col min="4" max="4" width="5.28515625" style="332" hidden="1" customWidth="1"/>
    <col min="5" max="5" width="11" style="332" customWidth="1"/>
    <col min="6" max="6" width="11.7109375" style="332" customWidth="1"/>
    <col min="7" max="7" width="12" style="332" customWidth="1"/>
    <col min="8" max="8" width="20.42578125" style="332" customWidth="1"/>
    <col min="9" max="12" width="8.85546875" style="332"/>
    <col min="13" max="13" width="11.42578125" style="332" customWidth="1"/>
    <col min="14" max="15" width="8.85546875" style="332"/>
    <col min="16" max="16" width="9.42578125" style="332" customWidth="1"/>
    <col min="17" max="18" width="8.85546875" style="332"/>
    <col min="19" max="19" width="31" style="332" customWidth="1"/>
    <col min="20" max="16384" width="8.85546875" style="332"/>
  </cols>
  <sheetData>
    <row r="1" spans="1:18">
      <c r="A1" s="83" t="s">
        <v>670</v>
      </c>
    </row>
    <row r="2" spans="1:18">
      <c r="A2" s="400" t="s">
        <v>766</v>
      </c>
    </row>
    <row r="3" spans="1:18" ht="15.75">
      <c r="A3" s="384" t="s">
        <v>671</v>
      </c>
      <c r="B3" s="384"/>
      <c r="C3" s="384"/>
      <c r="D3" s="384"/>
      <c r="E3" s="385"/>
      <c r="J3" s="385"/>
      <c r="K3" s="385"/>
      <c r="L3" s="385"/>
      <c r="M3" s="385"/>
      <c r="N3" s="385"/>
      <c r="O3" s="386"/>
      <c r="P3" s="385"/>
      <c r="Q3" s="334"/>
      <c r="R3" s="334"/>
    </row>
    <row r="4" spans="1:18">
      <c r="A4" s="387" t="s">
        <v>682</v>
      </c>
      <c r="B4" s="388" t="s">
        <v>59</v>
      </c>
      <c r="C4" s="387"/>
      <c r="E4" s="387"/>
      <c r="F4" s="387"/>
      <c r="G4" s="387"/>
    </row>
    <row r="5" spans="1:18">
      <c r="A5" s="389" t="s">
        <v>672</v>
      </c>
      <c r="B5" s="390"/>
      <c r="C5" s="389"/>
      <c r="D5" s="62"/>
      <c r="E5" s="389"/>
      <c r="F5" s="389"/>
      <c r="G5" s="389"/>
      <c r="H5" s="62"/>
      <c r="I5" s="62"/>
      <c r="J5" s="391"/>
    </row>
    <row r="6" spans="1:18">
      <c r="A6" s="389"/>
      <c r="B6" s="390"/>
      <c r="C6" s="389"/>
      <c r="D6" s="62"/>
      <c r="E6" s="389" t="s">
        <v>673</v>
      </c>
      <c r="F6" s="389"/>
      <c r="G6" s="389"/>
      <c r="H6" s="62"/>
      <c r="I6" s="62"/>
      <c r="J6" s="391"/>
    </row>
    <row r="7" spans="1:18">
      <c r="A7" s="389"/>
      <c r="B7" s="390"/>
      <c r="C7" s="389"/>
      <c r="D7" s="62"/>
      <c r="E7" s="389"/>
      <c r="F7" s="389" t="s">
        <v>674</v>
      </c>
      <c r="G7" s="389"/>
      <c r="H7" s="62"/>
      <c r="I7" s="62"/>
      <c r="J7" s="391"/>
    </row>
    <row r="8" spans="1:18">
      <c r="A8" s="389"/>
      <c r="B8" s="390"/>
      <c r="C8" s="389"/>
      <c r="D8" s="62"/>
      <c r="E8" s="389" t="s">
        <v>700</v>
      </c>
      <c r="F8" s="389"/>
      <c r="G8" s="389"/>
      <c r="H8" s="62"/>
      <c r="I8" s="62"/>
      <c r="J8" s="391"/>
    </row>
    <row r="9" spans="1:18">
      <c r="A9" s="389"/>
      <c r="B9" s="390"/>
      <c r="C9" s="389"/>
      <c r="D9" s="62"/>
      <c r="E9" s="389" t="s">
        <v>701</v>
      </c>
      <c r="F9" s="389"/>
      <c r="G9" s="389"/>
      <c r="H9" s="62"/>
      <c r="I9" s="62"/>
      <c r="J9" s="391"/>
    </row>
    <row r="10" spans="1:18">
      <c r="A10" s="389"/>
      <c r="B10" s="390"/>
      <c r="C10" s="389"/>
      <c r="D10" s="62"/>
      <c r="E10" s="389" t="s">
        <v>702</v>
      </c>
      <c r="F10" s="389"/>
      <c r="G10" s="389"/>
      <c r="H10" s="62"/>
      <c r="I10" s="62"/>
      <c r="J10" s="391"/>
    </row>
    <row r="11" spans="1:18" ht="15">
      <c r="A11"/>
      <c r="B11" s="390"/>
      <c r="C11" s="389"/>
      <c r="D11" s="62"/>
      <c r="E11" s="389" t="s">
        <v>703</v>
      </c>
      <c r="F11" s="389"/>
      <c r="G11" s="389"/>
      <c r="H11" s="62"/>
      <c r="I11" s="62"/>
      <c r="J11" s="391"/>
    </row>
    <row r="12" spans="1:18">
      <c r="A12" s="389"/>
      <c r="B12" s="390"/>
      <c r="C12" s="389"/>
      <c r="D12" s="62"/>
      <c r="E12" s="389"/>
      <c r="F12" s="389"/>
      <c r="G12" s="389"/>
      <c r="H12" s="62"/>
      <c r="I12" s="62"/>
      <c r="J12" s="391"/>
    </row>
    <row r="13" spans="1:18">
      <c r="A13" s="389" t="s">
        <v>704</v>
      </c>
      <c r="B13" s="390"/>
      <c r="C13" s="389"/>
      <c r="D13" s="62"/>
      <c r="E13" s="389"/>
      <c r="F13" s="389"/>
      <c r="G13" s="389"/>
      <c r="H13" s="62"/>
      <c r="I13" s="62"/>
      <c r="J13" s="391"/>
    </row>
    <row r="14" spans="1:18">
      <c r="A14" s="389" t="s">
        <v>705</v>
      </c>
      <c r="B14" s="390"/>
      <c r="C14" s="389"/>
      <c r="D14" s="62"/>
      <c r="E14" s="389"/>
      <c r="F14" s="389"/>
      <c r="G14" s="389"/>
      <c r="H14" s="62"/>
      <c r="I14" s="62"/>
      <c r="J14" s="391"/>
    </row>
    <row r="15" spans="1:18">
      <c r="A15" s="389"/>
      <c r="B15" s="390"/>
      <c r="C15" s="389"/>
      <c r="D15" s="62"/>
      <c r="E15" s="392" t="s">
        <v>706</v>
      </c>
      <c r="F15" s="389"/>
      <c r="G15" s="389"/>
      <c r="H15" s="62"/>
      <c r="I15" s="62"/>
      <c r="J15" s="391"/>
    </row>
    <row r="16" spans="1:18">
      <c r="A16" s="389"/>
      <c r="B16" s="390"/>
      <c r="C16" s="389"/>
      <c r="D16" s="62"/>
      <c r="E16" s="392" t="s">
        <v>707</v>
      </c>
      <c r="F16" s="389"/>
      <c r="G16" s="389"/>
      <c r="H16" s="62"/>
      <c r="I16" s="62"/>
      <c r="J16" s="391"/>
    </row>
    <row r="17" spans="1:14">
      <c r="A17" s="389" t="s">
        <v>708</v>
      </c>
      <c r="B17" s="390"/>
      <c r="C17" s="389"/>
      <c r="D17" s="62"/>
      <c r="E17" s="392"/>
      <c r="F17" s="389"/>
      <c r="G17" s="389"/>
      <c r="H17" s="62"/>
      <c r="I17" s="62"/>
      <c r="J17" s="391"/>
    </row>
    <row r="18" spans="1:14">
      <c r="A18" s="393"/>
      <c r="B18" s="394"/>
      <c r="C18" s="393"/>
      <c r="D18" s="391"/>
      <c r="E18" s="393"/>
      <c r="F18" s="393"/>
      <c r="G18" s="393"/>
      <c r="H18" s="391"/>
      <c r="I18" s="391"/>
      <c r="J18" s="391"/>
    </row>
    <row r="19" spans="1:14">
      <c r="A19" s="395" t="s">
        <v>709</v>
      </c>
      <c r="B19" s="394"/>
      <c r="C19" s="393"/>
      <c r="D19" s="391"/>
      <c r="E19" s="393"/>
      <c r="F19" s="393"/>
      <c r="G19" s="393"/>
      <c r="H19" s="391"/>
      <c r="I19" s="391"/>
      <c r="J19" s="391"/>
    </row>
    <row r="20" spans="1:14">
      <c r="A20" s="396" t="s">
        <v>119</v>
      </c>
      <c r="B20" s="397" t="e">
        <v>#DIV/0!</v>
      </c>
      <c r="C20" s="397" t="e">
        <v>#DIV/0!</v>
      </c>
      <c r="D20" s="397" t="e">
        <v>#DIV/0!</v>
      </c>
      <c r="E20" s="397">
        <v>1.8</v>
      </c>
      <c r="F20" s="397">
        <v>1.5893333333333333</v>
      </c>
      <c r="G20" s="397">
        <v>1.4504672897196262</v>
      </c>
      <c r="H20" s="398">
        <f>(G20-E20)/E20</f>
        <v>-0.19418483904465211</v>
      </c>
      <c r="I20" s="399"/>
      <c r="J20" s="400" t="s">
        <v>294</v>
      </c>
    </row>
    <row r="21" spans="1:14">
      <c r="A21" s="401" t="s">
        <v>120</v>
      </c>
      <c r="B21" s="402" t="e">
        <v>#DIV/0!</v>
      </c>
      <c r="C21" s="402" t="e">
        <v>#DIV/0!</v>
      </c>
      <c r="D21" s="402" t="e">
        <v>#DIV/0!</v>
      </c>
      <c r="E21" s="402">
        <v>0.88076923076923075</v>
      </c>
      <c r="F21" s="402">
        <v>0.72</v>
      </c>
      <c r="G21" s="402">
        <v>0.66915887850467293</v>
      </c>
      <c r="H21" s="403">
        <f>(G21-E21)/E21</f>
        <v>-0.24025629514753291</v>
      </c>
      <c r="I21" s="404"/>
      <c r="J21" s="400" t="s">
        <v>295</v>
      </c>
    </row>
    <row r="22" spans="1:14">
      <c r="A22" s="401" t="s">
        <v>121</v>
      </c>
      <c r="B22" s="402" t="e">
        <v>#DIV/0!</v>
      </c>
      <c r="C22" s="402" t="e">
        <v>#DIV/0!</v>
      </c>
      <c r="D22" s="402" t="e">
        <v>#DIV/0!</v>
      </c>
      <c r="E22" s="402">
        <v>36.779611078373605</v>
      </c>
      <c r="F22" s="402">
        <v>40.253353204172875</v>
      </c>
      <c r="G22" s="402">
        <v>42.949146250927988</v>
      </c>
      <c r="H22" s="403">
        <f>(G22-E22)/E22</f>
        <v>0.16774334996114373</v>
      </c>
      <c r="I22" s="404"/>
      <c r="J22" s="400" t="s">
        <v>296</v>
      </c>
    </row>
    <row r="23" spans="1:14">
      <c r="A23" s="401" t="s">
        <v>124</v>
      </c>
      <c r="B23" s="402" t="e">
        <v>#DIV/0!</v>
      </c>
      <c r="C23" s="402" t="e">
        <v>#DIV/0!</v>
      </c>
      <c r="D23" s="402" t="e">
        <v>#DIV/0!</v>
      </c>
      <c r="E23" s="402">
        <v>71.387070376432078</v>
      </c>
      <c r="F23" s="402">
        <v>82.804453723034101</v>
      </c>
      <c r="G23" s="402">
        <v>78.241025641025644</v>
      </c>
      <c r="H23" s="403">
        <f>(G23-E23)/E23</f>
        <v>9.601115760111581E-2</v>
      </c>
      <c r="I23" s="404"/>
      <c r="J23" s="391"/>
    </row>
    <row r="24" spans="1:14">
      <c r="A24" s="401" t="s">
        <v>126</v>
      </c>
      <c r="B24" s="402" t="e">
        <v>#DIV/0!</v>
      </c>
      <c r="C24" s="402" t="e">
        <v>#DIV/0!</v>
      </c>
      <c r="D24" s="402" t="e">
        <v>#DIV/0!</v>
      </c>
      <c r="E24" s="402">
        <v>37.037643207855979</v>
      </c>
      <c r="F24" s="402">
        <v>48.768267223382047</v>
      </c>
      <c r="G24" s="402">
        <v>47.917948717948718</v>
      </c>
      <c r="H24" s="403">
        <f>(G24-E24)/E24</f>
        <v>0.29376344086021489</v>
      </c>
      <c r="I24" s="404"/>
      <c r="J24" s="400" t="s">
        <v>297</v>
      </c>
    </row>
    <row r="25" spans="1:14">
      <c r="A25" s="405"/>
      <c r="B25" s="406"/>
      <c r="C25" s="407"/>
      <c r="D25" s="408"/>
      <c r="E25" s="407"/>
      <c r="F25" s="407"/>
      <c r="G25" s="407"/>
      <c r="H25" s="408"/>
      <c r="I25" s="404"/>
      <c r="J25" s="400" t="s">
        <v>299</v>
      </c>
    </row>
    <row r="26" spans="1:14">
      <c r="A26" s="405" t="s">
        <v>298</v>
      </c>
      <c r="B26" s="406"/>
      <c r="C26" s="407"/>
      <c r="D26" s="408"/>
      <c r="E26" s="407"/>
      <c r="F26" s="407"/>
      <c r="G26" s="407"/>
      <c r="H26" s="408"/>
      <c r="I26" s="404"/>
      <c r="K26" s="391"/>
      <c r="L26" s="391"/>
      <c r="M26" s="391"/>
      <c r="N26" s="391"/>
    </row>
    <row r="27" spans="1:14">
      <c r="A27" s="405" t="s">
        <v>300</v>
      </c>
      <c r="B27" s="406"/>
      <c r="C27" s="407"/>
      <c r="D27" s="408"/>
      <c r="E27" s="407"/>
      <c r="F27" s="407"/>
      <c r="G27" s="407"/>
      <c r="H27" s="408"/>
      <c r="I27" s="404"/>
      <c r="J27" s="409" t="s">
        <v>657</v>
      </c>
      <c r="K27" s="391"/>
      <c r="L27" s="391"/>
      <c r="M27" s="391"/>
      <c r="N27" s="391"/>
    </row>
    <row r="28" spans="1:14">
      <c r="A28" s="405" t="s">
        <v>301</v>
      </c>
      <c r="B28" s="406"/>
      <c r="C28" s="407"/>
      <c r="D28" s="408"/>
      <c r="E28" s="407"/>
      <c r="F28" s="407"/>
      <c r="G28" s="407"/>
      <c r="H28" s="408"/>
      <c r="I28" s="404"/>
      <c r="J28" s="409" t="s">
        <v>656</v>
      </c>
      <c r="K28" s="391"/>
      <c r="L28" s="391"/>
      <c r="M28" s="391"/>
      <c r="N28" s="391"/>
    </row>
    <row r="29" spans="1:14">
      <c r="A29" s="410"/>
      <c r="B29" s="411"/>
      <c r="C29" s="412"/>
      <c r="D29" s="413"/>
      <c r="E29" s="412"/>
      <c r="F29" s="412"/>
      <c r="G29" s="412"/>
      <c r="H29" s="413"/>
      <c r="I29" s="414"/>
      <c r="J29" s="409" t="s">
        <v>651</v>
      </c>
      <c r="K29" s="391"/>
      <c r="L29" s="409" t="s">
        <v>645</v>
      </c>
      <c r="M29" s="391"/>
      <c r="N29" s="391"/>
    </row>
    <row r="30" spans="1:14">
      <c r="A30" s="387"/>
      <c r="B30" s="388"/>
      <c r="C30" s="387"/>
      <c r="E30" s="387"/>
      <c r="F30" s="387"/>
      <c r="G30" s="387"/>
    </row>
    <row r="31" spans="1:14">
      <c r="A31" s="395" t="s">
        <v>726</v>
      </c>
      <c r="B31" s="388"/>
      <c r="C31" s="387"/>
      <c r="E31" s="387"/>
      <c r="F31" s="387"/>
      <c r="G31" s="387"/>
    </row>
    <row r="32" spans="1:14">
      <c r="A32" s="415" t="s">
        <v>129</v>
      </c>
      <c r="B32" s="416" t="e">
        <v>#DIV/0!</v>
      </c>
      <c r="C32" s="417" t="e">
        <v>#DIV/0!</v>
      </c>
      <c r="D32" s="336" t="e">
        <v>#DIV/0!</v>
      </c>
      <c r="E32" s="418">
        <v>0.19161676646706588</v>
      </c>
      <c r="F32" s="418">
        <v>0.15789473684210525</v>
      </c>
      <c r="G32" s="418">
        <v>0.12562814070351758</v>
      </c>
      <c r="H32" s="398">
        <f>(G32-E32)/E32</f>
        <v>-0.34437814070351769</v>
      </c>
      <c r="I32" s="338"/>
      <c r="J32" s="400" t="s">
        <v>302</v>
      </c>
    </row>
    <row r="33" spans="1:12">
      <c r="A33" s="405" t="s">
        <v>30</v>
      </c>
      <c r="B33" s="406" t="e">
        <v>#DIV/0!</v>
      </c>
      <c r="C33" s="407" t="e">
        <v>#DIV/0!</v>
      </c>
      <c r="D33" s="408" t="e">
        <v>#DIV/0!</v>
      </c>
      <c r="E33" s="419">
        <v>0.23703703703703705</v>
      </c>
      <c r="F33" s="419">
        <v>0.1875</v>
      </c>
      <c r="G33" s="419">
        <v>0.14367816091954022</v>
      </c>
      <c r="H33" s="403">
        <f>(G33-E33)/E33</f>
        <v>-0.39385775862068972</v>
      </c>
      <c r="I33" s="342"/>
      <c r="J33" s="420" t="s">
        <v>303</v>
      </c>
    </row>
    <row r="34" spans="1:12">
      <c r="A34" s="405" t="s">
        <v>31</v>
      </c>
      <c r="B34" s="406" t="e">
        <v>#DIV/0!</v>
      </c>
      <c r="C34" s="407" t="e">
        <v>#DIV/0!</v>
      </c>
      <c r="D34" s="408" t="e">
        <v>#DIV/0!</v>
      </c>
      <c r="E34" s="421">
        <v>3.8461538461538463</v>
      </c>
      <c r="F34" s="421">
        <v>3.05</v>
      </c>
      <c r="G34" s="421">
        <v>2.606060606060606</v>
      </c>
      <c r="H34" s="403">
        <f>(G34-E34)/E34</f>
        <v>-0.32242424242424245</v>
      </c>
      <c r="I34" s="342"/>
      <c r="J34" s="400" t="s">
        <v>304</v>
      </c>
    </row>
    <row r="35" spans="1:12">
      <c r="A35" s="405" t="s">
        <v>33</v>
      </c>
      <c r="B35" s="406" t="e">
        <v>#DIV/0!</v>
      </c>
      <c r="C35" s="407" t="e">
        <v>#DIV/0!</v>
      </c>
      <c r="D35" s="408" t="e">
        <v>#DIV/0!</v>
      </c>
      <c r="E35" s="421">
        <v>3.2224532224532227</v>
      </c>
      <c r="F35" s="421">
        <v>2.5292682926829269</v>
      </c>
      <c r="G35" s="421">
        <v>2.1635220125786163</v>
      </c>
      <c r="H35" s="403">
        <f>(G35-E35)/E35</f>
        <v>-0.32861026577399072</v>
      </c>
      <c r="I35" s="342"/>
    </row>
    <row r="36" spans="1:12">
      <c r="A36" s="405"/>
      <c r="B36" s="422"/>
      <c r="C36" s="423"/>
      <c r="D36" s="346"/>
      <c r="E36" s="423"/>
      <c r="F36" s="423"/>
      <c r="G36" s="423"/>
      <c r="H36" s="346"/>
      <c r="I36" s="342"/>
      <c r="J36" s="409" t="s">
        <v>655</v>
      </c>
    </row>
    <row r="37" spans="1:12">
      <c r="A37" s="405" t="s">
        <v>305</v>
      </c>
      <c r="B37" s="422"/>
      <c r="C37" s="423"/>
      <c r="D37" s="346"/>
      <c r="E37" s="423"/>
      <c r="F37" s="423"/>
      <c r="G37" s="423"/>
      <c r="H37" s="346"/>
      <c r="I37" s="342"/>
      <c r="J37" s="409" t="s">
        <v>654</v>
      </c>
    </row>
    <row r="38" spans="1:12">
      <c r="A38" s="405"/>
      <c r="B38" s="422"/>
      <c r="C38" s="423"/>
      <c r="D38" s="346"/>
      <c r="E38" s="423"/>
      <c r="F38" s="423"/>
      <c r="G38" s="423"/>
      <c r="H38" s="346"/>
      <c r="I38" s="342"/>
      <c r="J38" s="409" t="s">
        <v>651</v>
      </c>
      <c r="L38" s="409" t="s">
        <v>645</v>
      </c>
    </row>
    <row r="39" spans="1:12">
      <c r="A39" s="405"/>
      <c r="B39" s="422"/>
      <c r="C39" s="423"/>
      <c r="D39" s="346"/>
      <c r="E39" s="423"/>
      <c r="F39" s="423"/>
      <c r="G39" s="423"/>
      <c r="H39" s="346"/>
      <c r="I39" s="342"/>
    </row>
    <row r="40" spans="1:12">
      <c r="A40" s="405"/>
      <c r="B40" s="422"/>
      <c r="C40" s="423"/>
      <c r="D40" s="346"/>
      <c r="E40" s="423"/>
      <c r="F40" s="423"/>
      <c r="G40" s="423"/>
      <c r="H40" s="346"/>
      <c r="I40" s="342"/>
    </row>
    <row r="41" spans="1:12">
      <c r="A41" s="424"/>
      <c r="B41" s="411"/>
      <c r="C41" s="412"/>
      <c r="D41" s="413"/>
      <c r="E41" s="412"/>
      <c r="F41" s="412"/>
      <c r="G41" s="412"/>
      <c r="H41" s="413"/>
      <c r="I41" s="414"/>
    </row>
    <row r="42" spans="1:12">
      <c r="A42" s="387"/>
      <c r="B42" s="388"/>
      <c r="C42" s="387"/>
      <c r="E42" s="387"/>
      <c r="F42" s="387"/>
      <c r="G42" s="387"/>
    </row>
    <row r="43" spans="1:12">
      <c r="A43" s="395" t="s">
        <v>727</v>
      </c>
      <c r="B43" s="388"/>
      <c r="C43" s="387"/>
      <c r="E43" s="387"/>
      <c r="F43" s="387"/>
      <c r="G43" s="387"/>
    </row>
    <row r="44" spans="1:12" ht="15">
      <c r="A44" s="415" t="s">
        <v>36</v>
      </c>
      <c r="B44" s="416" t="e">
        <v>#DIV/0!</v>
      </c>
      <c r="C44" s="417" t="e">
        <v>#DIV/0!</v>
      </c>
      <c r="D44" s="336" t="e">
        <v>#DIV/0!</v>
      </c>
      <c r="E44" s="425">
        <v>13.468253968253968</v>
      </c>
      <c r="F44" s="425">
        <v>14.378571428571428</v>
      </c>
      <c r="G44" s="425">
        <v>17.159235668789808</v>
      </c>
      <c r="H44" s="426">
        <f>(G44-E44)/E44</f>
        <v>0.27405049750590205</v>
      </c>
      <c r="I44" s="338"/>
    </row>
    <row r="45" spans="1:12" ht="15">
      <c r="A45" s="405" t="s">
        <v>37</v>
      </c>
      <c r="B45" s="406" t="e">
        <v>#DIV/0!</v>
      </c>
      <c r="C45" s="407" t="e">
        <v>#DIV/0!</v>
      </c>
      <c r="D45" s="408" t="e">
        <v>#DIV/0!</v>
      </c>
      <c r="E45" s="421">
        <v>2.8569023569023568</v>
      </c>
      <c r="F45" s="421">
        <v>2.7350543478260869</v>
      </c>
      <c r="G45" s="421">
        <v>2.887459807073955</v>
      </c>
      <c r="H45" s="427">
        <f>(G45-E45)/E45</f>
        <v>1.0696007897424462E-2</v>
      </c>
      <c r="I45" s="342"/>
    </row>
    <row r="46" spans="1:12">
      <c r="A46" s="405"/>
      <c r="B46" s="422"/>
      <c r="C46" s="423"/>
      <c r="D46" s="346"/>
      <c r="E46" s="423"/>
      <c r="F46" s="423"/>
      <c r="G46" s="423"/>
      <c r="H46" s="346"/>
      <c r="I46" s="342"/>
      <c r="J46" s="409" t="s">
        <v>653</v>
      </c>
    </row>
    <row r="47" spans="1:12">
      <c r="A47" s="428" t="s">
        <v>306</v>
      </c>
      <c r="B47" s="422"/>
      <c r="C47" s="423"/>
      <c r="D47" s="346"/>
      <c r="E47" s="423"/>
      <c r="F47" s="423"/>
      <c r="G47" s="423"/>
      <c r="H47" s="346"/>
      <c r="I47" s="342"/>
      <c r="J47" s="409" t="s">
        <v>652</v>
      </c>
    </row>
    <row r="48" spans="1:12">
      <c r="A48" s="405" t="s">
        <v>307</v>
      </c>
      <c r="B48" s="422"/>
      <c r="C48" s="423"/>
      <c r="D48" s="346"/>
      <c r="E48" s="423"/>
      <c r="F48" s="423"/>
      <c r="G48" s="423"/>
      <c r="H48" s="346"/>
      <c r="I48" s="342"/>
      <c r="J48" s="409" t="s">
        <v>651</v>
      </c>
      <c r="L48" s="409" t="s">
        <v>645</v>
      </c>
    </row>
    <row r="49" spans="1:14">
      <c r="A49" s="405"/>
      <c r="B49" s="422"/>
      <c r="C49" s="423"/>
      <c r="D49" s="346"/>
      <c r="E49" s="423"/>
      <c r="F49" s="423"/>
      <c r="G49" s="423"/>
      <c r="H49" s="346"/>
      <c r="I49" s="342"/>
    </row>
    <row r="50" spans="1:14">
      <c r="A50" s="405"/>
      <c r="B50" s="422"/>
      <c r="C50" s="423"/>
      <c r="D50" s="346"/>
      <c r="E50" s="423"/>
      <c r="F50" s="423"/>
      <c r="G50" s="423"/>
      <c r="H50" s="346"/>
      <c r="I50" s="342"/>
    </row>
    <row r="51" spans="1:14">
      <c r="A51" s="405"/>
      <c r="B51" s="422"/>
      <c r="C51" s="423"/>
      <c r="D51" s="346"/>
      <c r="E51" s="423"/>
      <c r="F51" s="423"/>
      <c r="G51" s="423"/>
      <c r="H51" s="346"/>
      <c r="I51" s="342"/>
    </row>
    <row r="52" spans="1:14">
      <c r="A52" s="405"/>
      <c r="B52" s="422"/>
      <c r="C52" s="423"/>
      <c r="D52" s="346"/>
      <c r="E52" s="423"/>
      <c r="F52" s="423"/>
      <c r="G52" s="423"/>
      <c r="H52" s="346"/>
      <c r="I52" s="342"/>
    </row>
    <row r="53" spans="1:14">
      <c r="A53" s="424"/>
      <c r="B53" s="411"/>
      <c r="C53" s="412"/>
      <c r="D53" s="413"/>
      <c r="E53" s="412"/>
      <c r="F53" s="412"/>
      <c r="G53" s="412"/>
      <c r="H53" s="413"/>
      <c r="I53" s="414"/>
    </row>
    <row r="54" spans="1:14">
      <c r="A54" s="387"/>
      <c r="B54" s="388"/>
      <c r="C54" s="387"/>
      <c r="E54" s="387"/>
      <c r="F54" s="387"/>
      <c r="G54" s="387"/>
    </row>
    <row r="55" spans="1:14">
      <c r="A55" s="395" t="s">
        <v>688</v>
      </c>
      <c r="B55" s="388"/>
      <c r="C55" s="387"/>
      <c r="E55" s="387"/>
      <c r="F55" s="387"/>
      <c r="G55" s="387"/>
    </row>
    <row r="56" spans="1:14" ht="15">
      <c r="A56" s="415" t="s">
        <v>308</v>
      </c>
      <c r="B56" s="429" t="e">
        <v>#DIV/0!</v>
      </c>
      <c r="C56" s="430" t="e">
        <v>#DIV/0!</v>
      </c>
      <c r="D56" s="431" t="e">
        <v>#DIV/0!</v>
      </c>
      <c r="E56" s="418">
        <v>0.2799057159693577</v>
      </c>
      <c r="F56" s="418">
        <v>0.28614008941877794</v>
      </c>
      <c r="G56" s="418">
        <v>0.27616926503340755</v>
      </c>
      <c r="H56" s="426">
        <f t="shared" ref="H56:H61" si="0">(G56-E56)/E56</f>
        <v>-1.3348962606962967E-2</v>
      </c>
      <c r="I56" s="338"/>
      <c r="J56" s="432">
        <v>0.5</v>
      </c>
      <c r="K56" s="433" t="s">
        <v>650</v>
      </c>
      <c r="L56" s="433"/>
      <c r="M56" s="433"/>
      <c r="N56" s="433"/>
    </row>
    <row r="57" spans="1:14" ht="15">
      <c r="A57" s="405" t="s">
        <v>322</v>
      </c>
      <c r="B57" s="422" t="e">
        <v>#DIV/0!</v>
      </c>
      <c r="C57" s="423" t="e">
        <v>#DIV/0!</v>
      </c>
      <c r="D57" s="346" t="e">
        <v>#DIV/0!</v>
      </c>
      <c r="E57" s="419">
        <v>2.9463759575721862E-2</v>
      </c>
      <c r="F57" s="419">
        <v>3.0303030303030304E-2</v>
      </c>
      <c r="G57" s="419">
        <v>3.1922791388270227E-2</v>
      </c>
      <c r="H57" s="427">
        <f t="shared" si="0"/>
        <v>8.3459539717891537E-2</v>
      </c>
      <c r="I57" s="342"/>
      <c r="J57" s="434">
        <v>0.5</v>
      </c>
      <c r="K57" s="433" t="str">
        <f>K56</f>
        <v>point</v>
      </c>
      <c r="L57" s="433"/>
      <c r="M57" s="433"/>
      <c r="N57" s="433"/>
    </row>
    <row r="58" spans="1:14" ht="15">
      <c r="A58" s="405" t="s">
        <v>323</v>
      </c>
      <c r="B58" s="422" t="e">
        <v>#DIV/0!</v>
      </c>
      <c r="C58" s="423" t="e">
        <v>#DIV/0!</v>
      </c>
      <c r="D58" s="346" t="e">
        <v>#DIV/0!</v>
      </c>
      <c r="E58" s="419">
        <v>1.8267530936947555E-2</v>
      </c>
      <c r="F58" s="419">
        <v>1.6890213611525089E-2</v>
      </c>
      <c r="G58" s="419">
        <v>1.6332590942835932E-2</v>
      </c>
      <c r="H58" s="427">
        <f t="shared" si="0"/>
        <v>-0.10592236032282014</v>
      </c>
      <c r="I58" s="342"/>
      <c r="J58" s="434">
        <v>0.5</v>
      </c>
      <c r="K58" s="433" t="str">
        <f>K57</f>
        <v>point</v>
      </c>
      <c r="L58" s="433"/>
      <c r="M58" s="433"/>
      <c r="N58" s="433"/>
    </row>
    <row r="59" spans="1:14" ht="15">
      <c r="A59" s="405" t="s">
        <v>324</v>
      </c>
      <c r="B59" s="422" t="e">
        <v>#DIV/0!</v>
      </c>
      <c r="C59" s="423" t="e">
        <v>#DIV/0!</v>
      </c>
      <c r="D59" s="346" t="e">
        <v>#DIV/0!</v>
      </c>
      <c r="E59" s="419">
        <v>5.2188552188552187E-2</v>
      </c>
      <c r="F59" s="419">
        <v>4.619565217391304E-2</v>
      </c>
      <c r="G59" s="419">
        <v>4.7159699892818867E-2</v>
      </c>
      <c r="H59" s="427">
        <f t="shared" si="0"/>
        <v>-9.6359298827922324E-2</v>
      </c>
      <c r="I59" s="342"/>
      <c r="J59" s="434">
        <v>0.5</v>
      </c>
      <c r="K59" s="433" t="str">
        <f>K58</f>
        <v>point</v>
      </c>
      <c r="L59" s="433"/>
      <c r="M59" s="433"/>
      <c r="N59" s="433"/>
    </row>
    <row r="60" spans="1:14" ht="15">
      <c r="A60" s="405" t="s">
        <v>43</v>
      </c>
      <c r="B60" s="422" t="e">
        <v>#DIV/0!</v>
      </c>
      <c r="C60" s="423" t="e">
        <v>#DIV/0!</v>
      </c>
      <c r="D60" s="346" t="e">
        <v>#DIV/0!</v>
      </c>
      <c r="E60" s="419">
        <v>0.11481481481481481</v>
      </c>
      <c r="F60" s="419">
        <v>0.1118421052631579</v>
      </c>
      <c r="G60" s="419">
        <v>0.12643678160919541</v>
      </c>
      <c r="H60" s="427">
        <f t="shared" si="0"/>
        <v>0.10122358175750845</v>
      </c>
      <c r="I60" s="342"/>
      <c r="J60" s="434">
        <v>0.5</v>
      </c>
      <c r="K60" s="433" t="str">
        <f>K59</f>
        <v>point</v>
      </c>
      <c r="L60" s="433"/>
      <c r="M60" s="433"/>
      <c r="N60" s="433"/>
    </row>
    <row r="61" spans="1:14" ht="15">
      <c r="A61" s="405" t="s">
        <v>44</v>
      </c>
      <c r="B61" s="422" t="e">
        <v>#DIV/0!</v>
      </c>
      <c r="C61" s="423" t="e">
        <v>#DIV/0!</v>
      </c>
      <c r="D61" s="346" t="e">
        <v>#DIV/0!</v>
      </c>
      <c r="E61" s="419">
        <v>7.0525070525070524E-2</v>
      </c>
      <c r="F61" s="419">
        <v>6.8730116648992576E-2</v>
      </c>
      <c r="G61" s="419">
        <v>7.6523286618536274E-2</v>
      </c>
      <c r="H61" s="427">
        <f t="shared" si="0"/>
        <v>8.5050834388509841E-2</v>
      </c>
      <c r="I61" s="342"/>
      <c r="J61" s="434">
        <v>0.5</v>
      </c>
      <c r="K61" s="433" t="str">
        <f>K60</f>
        <v>point</v>
      </c>
      <c r="L61" s="433"/>
      <c r="M61" s="433"/>
      <c r="N61" s="433"/>
    </row>
    <row r="62" spans="1:14">
      <c r="A62" s="405" t="s">
        <v>325</v>
      </c>
      <c r="B62" s="422"/>
      <c r="C62" s="423"/>
      <c r="D62" s="346"/>
      <c r="E62" s="423"/>
      <c r="F62" s="423"/>
      <c r="G62" s="423"/>
      <c r="H62" s="346"/>
      <c r="I62" s="342"/>
      <c r="J62" s="433">
        <v>3</v>
      </c>
      <c r="K62" s="433" t="s">
        <v>463</v>
      </c>
      <c r="L62" s="433" t="s">
        <v>649</v>
      </c>
      <c r="M62" s="433"/>
      <c r="N62" s="433"/>
    </row>
    <row r="63" spans="1:14">
      <c r="A63" s="405" t="s">
        <v>326</v>
      </c>
      <c r="B63" s="422"/>
      <c r="C63" s="423"/>
      <c r="D63" s="346"/>
      <c r="E63" s="423"/>
      <c r="F63" s="423"/>
      <c r="G63" s="423"/>
      <c r="H63" s="346"/>
      <c r="I63" s="342"/>
      <c r="J63" s="433">
        <v>3</v>
      </c>
      <c r="K63" s="433" t="s">
        <v>463</v>
      </c>
      <c r="L63" s="433" t="s">
        <v>648</v>
      </c>
      <c r="M63" s="433"/>
      <c r="N63" s="433"/>
    </row>
    <row r="64" spans="1:14">
      <c r="A64" s="405" t="s">
        <v>327</v>
      </c>
      <c r="B64" s="422"/>
      <c r="C64" s="423"/>
      <c r="D64" s="346"/>
      <c r="E64" s="423"/>
      <c r="F64" s="423"/>
      <c r="G64" s="423"/>
      <c r="H64" s="346"/>
      <c r="I64" s="342"/>
      <c r="J64" s="433" t="s">
        <v>647</v>
      </c>
      <c r="K64" s="433" t="s">
        <v>646</v>
      </c>
      <c r="L64" s="409" t="s">
        <v>645</v>
      </c>
      <c r="M64" s="433"/>
      <c r="N64" s="433"/>
    </row>
    <row r="65" spans="1:13">
      <c r="A65" s="435" t="s">
        <v>328</v>
      </c>
      <c r="B65" s="411"/>
      <c r="C65" s="412"/>
      <c r="D65" s="413"/>
      <c r="E65" s="412"/>
      <c r="F65" s="412"/>
      <c r="G65" s="412"/>
      <c r="H65" s="413"/>
      <c r="I65" s="414"/>
      <c r="J65" s="400" t="s">
        <v>311</v>
      </c>
    </row>
    <row r="66" spans="1:13">
      <c r="A66" s="387"/>
      <c r="B66" s="388"/>
      <c r="C66" s="387"/>
      <c r="E66" s="387"/>
      <c r="F66" s="387"/>
      <c r="G66" s="387"/>
    </row>
    <row r="67" spans="1:13">
      <c r="A67" s="395" t="s">
        <v>329</v>
      </c>
      <c r="B67" s="388"/>
      <c r="C67" s="387"/>
      <c r="E67" s="387"/>
      <c r="F67" s="387"/>
      <c r="G67" s="387"/>
    </row>
    <row r="68" spans="1:13" ht="15">
      <c r="A68" s="415" t="s">
        <v>46</v>
      </c>
      <c r="B68" s="429" t="e">
        <v>#DIV/0!</v>
      </c>
      <c r="C68" s="430" t="e">
        <v>#DIV/0!</v>
      </c>
      <c r="D68" s="431" t="e">
        <v>#DIV/0!</v>
      </c>
      <c r="E68" s="418">
        <v>1.8267530936947555E-2</v>
      </c>
      <c r="F68" s="418">
        <v>1.6890213611525089E-2</v>
      </c>
      <c r="G68" s="418">
        <v>1.6332590942835932E-2</v>
      </c>
      <c r="H68" s="426">
        <f>(G68-E68)/E68</f>
        <v>-0.10592236032282014</v>
      </c>
      <c r="I68" s="338"/>
    </row>
    <row r="69" spans="1:13" ht="15">
      <c r="A69" s="405" t="s">
        <v>47</v>
      </c>
      <c r="B69" s="422" t="e">
        <v>#DIV/0!</v>
      </c>
      <c r="C69" s="423" t="e">
        <v>#DIV/0!</v>
      </c>
      <c r="D69" s="346" t="e">
        <v>#DIV/0!</v>
      </c>
      <c r="E69" s="421">
        <v>2.8569023569023568</v>
      </c>
      <c r="F69" s="421">
        <v>2.7350543478260869</v>
      </c>
      <c r="G69" s="421">
        <v>2.887459807073955</v>
      </c>
      <c r="H69" s="427">
        <f>(G69-E69)/E69</f>
        <v>1.0696007897424462E-2</v>
      </c>
      <c r="I69" s="342"/>
    </row>
    <row r="70" spans="1:13" ht="15">
      <c r="A70" s="405" t="s">
        <v>48</v>
      </c>
      <c r="B70" s="422" t="e">
        <v>#DIV/0!</v>
      </c>
      <c r="C70" s="423" t="e">
        <v>#DIV/0!</v>
      </c>
      <c r="D70" s="346" t="e">
        <v>#DIV/0!</v>
      </c>
      <c r="E70" s="421">
        <v>2.2000000000000002</v>
      </c>
      <c r="F70" s="421">
        <v>2.4210526315789473</v>
      </c>
      <c r="G70" s="421">
        <v>2.6810344827586206</v>
      </c>
      <c r="H70" s="427">
        <f>(G70-E70)/E70</f>
        <v>0.2186520376175547</v>
      </c>
      <c r="I70" s="342"/>
    </row>
    <row r="71" spans="1:13" ht="15">
      <c r="A71" s="405" t="s">
        <v>49</v>
      </c>
      <c r="B71" s="422" t="e">
        <v>#DIV/0!</v>
      </c>
      <c r="C71" s="423" t="e">
        <v>#DIV/0!</v>
      </c>
      <c r="D71" s="346" t="e">
        <v>#DIV/0!</v>
      </c>
      <c r="E71" s="419">
        <v>0.11481481481481481</v>
      </c>
      <c r="F71" s="419">
        <v>0.1118421052631579</v>
      </c>
      <c r="G71" s="419">
        <v>0.12643678160919541</v>
      </c>
      <c r="H71" s="427">
        <f>(G71-E71)/E71</f>
        <v>0.10122358175750845</v>
      </c>
      <c r="I71" s="342"/>
    </row>
    <row r="72" spans="1:13">
      <c r="A72" s="405" t="s">
        <v>330</v>
      </c>
      <c r="B72" s="422"/>
      <c r="C72" s="423"/>
      <c r="D72" s="346"/>
      <c r="E72" s="423"/>
      <c r="F72" s="423"/>
      <c r="G72" s="423"/>
      <c r="H72" s="346"/>
      <c r="I72" s="342"/>
      <c r="J72" s="409">
        <v>3</v>
      </c>
      <c r="K72" s="409" t="s">
        <v>463</v>
      </c>
      <c r="L72" s="409" t="s">
        <v>644</v>
      </c>
      <c r="M72" s="409"/>
    </row>
    <row r="73" spans="1:13">
      <c r="A73" s="436" t="s">
        <v>331</v>
      </c>
      <c r="B73" s="422"/>
      <c r="C73" s="423"/>
      <c r="D73" s="346"/>
      <c r="E73" s="423"/>
      <c r="F73" s="423"/>
      <c r="G73" s="423"/>
      <c r="H73" s="346"/>
      <c r="I73" s="342"/>
      <c r="J73" s="409">
        <v>3</v>
      </c>
      <c r="K73" s="409" t="s">
        <v>463</v>
      </c>
      <c r="L73" s="409" t="s">
        <v>643</v>
      </c>
      <c r="M73" s="409"/>
    </row>
    <row r="74" spans="1:13">
      <c r="A74" s="405" t="s">
        <v>332</v>
      </c>
      <c r="B74" s="422"/>
      <c r="C74" s="423"/>
      <c r="D74" s="346"/>
      <c r="E74" s="423"/>
      <c r="F74" s="423"/>
      <c r="G74" s="423"/>
      <c r="H74" s="346"/>
      <c r="I74" s="342"/>
      <c r="J74" s="409">
        <v>3</v>
      </c>
      <c r="K74" s="409" t="s">
        <v>463</v>
      </c>
      <c r="L74" s="409" t="s">
        <v>642</v>
      </c>
      <c r="M74" s="409"/>
    </row>
    <row r="75" spans="1:13">
      <c r="A75" s="405" t="s">
        <v>284</v>
      </c>
      <c r="B75" s="422"/>
      <c r="C75" s="423"/>
      <c r="D75" s="346"/>
      <c r="E75" s="423"/>
      <c r="F75" s="423"/>
      <c r="G75" s="423"/>
      <c r="H75" s="346"/>
      <c r="I75" s="342"/>
      <c r="J75" s="409" t="s">
        <v>639</v>
      </c>
      <c r="K75" s="409"/>
      <c r="L75" s="437" t="s">
        <v>567</v>
      </c>
      <c r="M75" s="409"/>
    </row>
    <row r="76" spans="1:13">
      <c r="A76" s="405" t="s">
        <v>285</v>
      </c>
      <c r="B76" s="422"/>
      <c r="C76" s="423"/>
      <c r="D76" s="346"/>
      <c r="E76" s="423"/>
      <c r="F76" s="423"/>
      <c r="G76" s="423"/>
      <c r="H76" s="346"/>
      <c r="I76" s="342"/>
    </row>
    <row r="77" spans="1:13">
      <c r="A77" s="424" t="s">
        <v>286</v>
      </c>
      <c r="B77" s="411"/>
      <c r="C77" s="412"/>
      <c r="D77" s="413"/>
      <c r="E77" s="412"/>
      <c r="F77" s="412"/>
      <c r="G77" s="412"/>
      <c r="H77" s="413"/>
      <c r="I77" s="414"/>
    </row>
    <row r="78" spans="1:13">
      <c r="A78" s="387"/>
      <c r="B78" s="388"/>
      <c r="C78" s="387"/>
      <c r="E78" s="387"/>
      <c r="F78" s="387"/>
      <c r="G78" s="387"/>
    </row>
    <row r="79" spans="1:13">
      <c r="A79" s="395" t="s">
        <v>689</v>
      </c>
      <c r="B79" s="394"/>
      <c r="C79" s="393"/>
      <c r="D79" s="391"/>
      <c r="E79" s="393"/>
      <c r="F79" s="387"/>
      <c r="G79" s="387"/>
    </row>
    <row r="80" spans="1:13">
      <c r="A80" s="415" t="s">
        <v>287</v>
      </c>
      <c r="B80" s="416"/>
      <c r="C80" s="417"/>
      <c r="D80" s="336"/>
      <c r="E80" s="417"/>
      <c r="F80" s="430"/>
      <c r="G80" s="430"/>
      <c r="H80" s="431"/>
      <c r="I80" s="338"/>
      <c r="J80" s="400" t="s">
        <v>288</v>
      </c>
    </row>
    <row r="81" spans="1:14">
      <c r="A81" s="405" t="s">
        <v>289</v>
      </c>
      <c r="B81" s="406"/>
      <c r="C81" s="407"/>
      <c r="D81" s="408"/>
      <c r="E81" s="407"/>
      <c r="F81" s="423"/>
      <c r="G81" s="423"/>
      <c r="H81" s="346"/>
      <c r="I81" s="342"/>
      <c r="J81" s="400" t="s">
        <v>290</v>
      </c>
    </row>
    <row r="82" spans="1:14">
      <c r="A82" s="405" t="s">
        <v>291</v>
      </c>
      <c r="B82" s="406"/>
      <c r="C82" s="407"/>
      <c r="D82" s="408"/>
      <c r="E82" s="407"/>
      <c r="F82" s="423"/>
      <c r="G82" s="423"/>
      <c r="H82" s="346"/>
      <c r="I82" s="342"/>
      <c r="J82" s="400" t="s">
        <v>292</v>
      </c>
    </row>
    <row r="83" spans="1:14">
      <c r="A83" s="405" t="s">
        <v>293</v>
      </c>
      <c r="B83" s="406"/>
      <c r="C83" s="407"/>
      <c r="D83" s="408"/>
      <c r="E83" s="407"/>
      <c r="F83" s="423"/>
      <c r="G83" s="423"/>
      <c r="H83" s="346"/>
      <c r="I83" s="342"/>
      <c r="J83" s="400" t="s">
        <v>365</v>
      </c>
    </row>
    <row r="84" spans="1:14">
      <c r="A84" s="405" t="s">
        <v>366</v>
      </c>
      <c r="B84" s="406"/>
      <c r="C84" s="407"/>
      <c r="D84" s="408"/>
      <c r="E84" s="407"/>
      <c r="F84" s="423"/>
      <c r="G84" s="423"/>
      <c r="H84" s="346"/>
      <c r="I84" s="342"/>
      <c r="J84" s="400" t="s">
        <v>367</v>
      </c>
    </row>
    <row r="85" spans="1:14">
      <c r="A85" s="405" t="s">
        <v>368</v>
      </c>
      <c r="B85" s="406"/>
      <c r="C85" s="407"/>
      <c r="D85" s="408"/>
      <c r="E85" s="407"/>
      <c r="F85" s="423"/>
      <c r="G85" s="423"/>
      <c r="H85" s="346"/>
      <c r="I85" s="342"/>
      <c r="J85" s="400" t="s">
        <v>369</v>
      </c>
    </row>
    <row r="86" spans="1:14">
      <c r="A86" s="405"/>
      <c r="B86" s="406"/>
      <c r="C86" s="407"/>
      <c r="D86" s="408"/>
      <c r="E86" s="407"/>
      <c r="F86" s="423"/>
      <c r="G86" s="423"/>
      <c r="H86" s="346"/>
      <c r="I86" s="342"/>
    </row>
    <row r="87" spans="1:14">
      <c r="A87" s="405" t="s">
        <v>370</v>
      </c>
      <c r="B87" s="406"/>
      <c r="C87" s="407"/>
      <c r="D87" s="408"/>
      <c r="E87" s="407"/>
      <c r="F87" s="423"/>
      <c r="G87" s="423"/>
      <c r="H87" s="346"/>
      <c r="I87" s="342"/>
      <c r="J87" s="409">
        <v>5</v>
      </c>
      <c r="K87" s="409" t="s">
        <v>463</v>
      </c>
      <c r="L87" s="409" t="s">
        <v>641</v>
      </c>
      <c r="M87" s="409"/>
      <c r="N87" s="409"/>
    </row>
    <row r="88" spans="1:14">
      <c r="A88" s="405"/>
      <c r="B88" s="406"/>
      <c r="C88" s="407"/>
      <c r="D88" s="408"/>
      <c r="E88" s="407"/>
      <c r="F88" s="423"/>
      <c r="G88" s="423"/>
      <c r="H88" s="346"/>
      <c r="I88" s="342"/>
      <c r="J88" s="409">
        <v>4</v>
      </c>
      <c r="K88" s="409" t="s">
        <v>463</v>
      </c>
      <c r="L88" s="409" t="s">
        <v>640</v>
      </c>
      <c r="M88" s="409"/>
      <c r="N88" s="409"/>
    </row>
    <row r="89" spans="1:14">
      <c r="A89" s="435"/>
      <c r="B89" s="438"/>
      <c r="C89" s="439"/>
      <c r="D89" s="440"/>
      <c r="E89" s="439"/>
      <c r="F89" s="412"/>
      <c r="G89" s="412"/>
      <c r="H89" s="413"/>
      <c r="I89" s="414"/>
      <c r="J89" s="409" t="s">
        <v>639</v>
      </c>
      <c r="K89" s="409"/>
      <c r="L89" s="409"/>
      <c r="M89" s="409"/>
      <c r="N89" s="409"/>
    </row>
    <row r="90" spans="1:14">
      <c r="A90" s="393"/>
      <c r="B90" s="394"/>
      <c r="C90" s="393"/>
      <c r="D90" s="391"/>
      <c r="E90" s="393"/>
      <c r="F90" s="387"/>
      <c r="G90" s="387"/>
      <c r="J90" s="400"/>
    </row>
    <row r="91" spans="1:14">
      <c r="A91" s="395" t="s">
        <v>371</v>
      </c>
      <c r="B91" s="394"/>
      <c r="C91" s="393"/>
      <c r="D91" s="391"/>
      <c r="E91" s="393"/>
      <c r="F91" s="387"/>
      <c r="G91" s="387"/>
      <c r="J91" s="400"/>
    </row>
    <row r="92" spans="1:14">
      <c r="A92" s="415" t="s">
        <v>372</v>
      </c>
      <c r="B92" s="416"/>
      <c r="C92" s="417"/>
      <c r="D92" s="336"/>
      <c r="E92" s="417"/>
      <c r="F92" s="430"/>
      <c r="G92" s="430"/>
      <c r="H92" s="431"/>
      <c r="I92" s="338"/>
      <c r="J92" s="400" t="s">
        <v>373</v>
      </c>
    </row>
    <row r="93" spans="1:14">
      <c r="A93" s="405" t="s">
        <v>374</v>
      </c>
      <c r="B93" s="406"/>
      <c r="C93" s="407"/>
      <c r="D93" s="408"/>
      <c r="E93" s="407"/>
      <c r="F93" s="423"/>
      <c r="G93" s="423"/>
      <c r="H93" s="346"/>
      <c r="I93" s="342"/>
      <c r="J93" s="400" t="s">
        <v>375</v>
      </c>
    </row>
    <row r="94" spans="1:14">
      <c r="A94" s="441" t="s">
        <v>376</v>
      </c>
      <c r="B94" s="406"/>
      <c r="C94" s="407"/>
      <c r="D94" s="408"/>
      <c r="E94" s="407">
        <v>240</v>
      </c>
      <c r="F94" s="423"/>
      <c r="G94" s="407" t="s">
        <v>377</v>
      </c>
      <c r="H94" s="346">
        <f>E94+E95</f>
        <v>290</v>
      </c>
      <c r="I94" s="342"/>
      <c r="J94" s="400" t="s">
        <v>378</v>
      </c>
    </row>
    <row r="95" spans="1:14">
      <c r="A95" s="441" t="s">
        <v>379</v>
      </c>
      <c r="B95" s="406"/>
      <c r="C95" s="407"/>
      <c r="D95" s="408"/>
      <c r="E95" s="407">
        <v>50</v>
      </c>
      <c r="F95" s="423"/>
      <c r="G95" s="407" t="s">
        <v>380</v>
      </c>
      <c r="H95" s="346">
        <f>E94+E95+E96</f>
        <v>638</v>
      </c>
      <c r="I95" s="342"/>
      <c r="J95" s="400" t="s">
        <v>383</v>
      </c>
    </row>
    <row r="96" spans="1:14" ht="15">
      <c r="A96" s="441" t="s">
        <v>381</v>
      </c>
      <c r="B96" s="406"/>
      <c r="C96" s="407"/>
      <c r="D96" s="408"/>
      <c r="E96" s="407">
        <v>348</v>
      </c>
      <c r="F96" s="423"/>
      <c r="G96" s="407" t="s">
        <v>382</v>
      </c>
      <c r="H96" s="427">
        <f>H94/H95</f>
        <v>0.45454545454545453</v>
      </c>
      <c r="I96" s="342"/>
    </row>
    <row r="97" spans="1:14" ht="15">
      <c r="A97" s="405"/>
      <c r="B97" s="406"/>
      <c r="C97" s="407"/>
      <c r="D97" s="408"/>
      <c r="E97" s="407"/>
      <c r="F97" s="423"/>
      <c r="G97" s="407" t="s">
        <v>313</v>
      </c>
      <c r="H97" s="427">
        <f>E94/H94</f>
        <v>0.82758620689655171</v>
      </c>
      <c r="I97" s="342"/>
      <c r="J97" s="409">
        <v>5</v>
      </c>
      <c r="K97" s="409" t="s">
        <v>463</v>
      </c>
      <c r="L97" s="409" t="s">
        <v>641</v>
      </c>
      <c r="M97" s="409"/>
      <c r="N97" s="409"/>
    </row>
    <row r="98" spans="1:14">
      <c r="A98" s="405" t="s">
        <v>314</v>
      </c>
      <c r="B98" s="406"/>
      <c r="C98" s="407"/>
      <c r="D98" s="408"/>
      <c r="E98" s="407"/>
      <c r="F98" s="423"/>
      <c r="G98" s="423"/>
      <c r="H98" s="346"/>
      <c r="I98" s="342"/>
      <c r="J98" s="409">
        <v>4</v>
      </c>
      <c r="K98" s="409" t="s">
        <v>463</v>
      </c>
      <c r="L98" s="409" t="s">
        <v>640</v>
      </c>
      <c r="M98" s="409"/>
      <c r="N98" s="409"/>
    </row>
    <row r="99" spans="1:14">
      <c r="A99" s="405" t="s">
        <v>315</v>
      </c>
      <c r="B99" s="406"/>
      <c r="C99" s="407"/>
      <c r="D99" s="408"/>
      <c r="E99" s="407"/>
      <c r="F99" s="423"/>
      <c r="G99" s="423"/>
      <c r="H99" s="346"/>
      <c r="I99" s="342"/>
      <c r="J99" s="409" t="s">
        <v>639</v>
      </c>
      <c r="K99" s="409"/>
      <c r="L99" s="409"/>
      <c r="M99" s="409"/>
      <c r="N99" s="409"/>
    </row>
    <row r="100" spans="1:14">
      <c r="A100" s="405" t="s">
        <v>316</v>
      </c>
      <c r="B100" s="406"/>
      <c r="C100" s="407"/>
      <c r="D100" s="408"/>
      <c r="E100" s="407"/>
      <c r="F100" s="423"/>
      <c r="G100" s="423"/>
      <c r="H100" s="346"/>
      <c r="I100" s="342"/>
    </row>
    <row r="101" spans="1:14">
      <c r="A101" s="424"/>
      <c r="B101" s="438"/>
      <c r="C101" s="439"/>
      <c r="D101" s="440"/>
      <c r="E101" s="439"/>
      <c r="F101" s="412"/>
      <c r="G101" s="412"/>
      <c r="H101" s="413"/>
      <c r="I101" s="414"/>
    </row>
    <row r="102" spans="1:14">
      <c r="A102" s="393"/>
      <c r="B102" s="394"/>
      <c r="C102" s="393"/>
      <c r="D102" s="391"/>
      <c r="E102" s="393"/>
      <c r="F102" s="387"/>
      <c r="G102" s="387"/>
    </row>
    <row r="103" spans="1:14">
      <c r="A103" s="395" t="s">
        <v>690</v>
      </c>
      <c r="B103" s="394"/>
      <c r="C103" s="393"/>
      <c r="D103" s="391"/>
      <c r="E103" s="393"/>
      <c r="F103" s="387"/>
      <c r="G103" s="387"/>
    </row>
    <row r="104" spans="1:14">
      <c r="A104" s="442" t="s">
        <v>317</v>
      </c>
      <c r="B104" s="416"/>
      <c r="C104" s="417"/>
      <c r="D104" s="336"/>
      <c r="E104" s="417"/>
      <c r="F104" s="430"/>
      <c r="G104" s="430"/>
      <c r="H104" s="338"/>
    </row>
    <row r="105" spans="1:14">
      <c r="A105" s="443" t="s">
        <v>318</v>
      </c>
      <c r="B105" s="406"/>
      <c r="C105" s="407"/>
      <c r="D105" s="408"/>
      <c r="E105" s="407"/>
      <c r="F105" s="423"/>
      <c r="G105" s="423"/>
      <c r="H105" s="342"/>
      <c r="J105" s="409">
        <v>3</v>
      </c>
      <c r="K105" s="409" t="s">
        <v>463</v>
      </c>
      <c r="L105" s="409" t="s">
        <v>638</v>
      </c>
      <c r="M105" s="409"/>
    </row>
    <row r="106" spans="1:14">
      <c r="A106" s="443" t="s">
        <v>319</v>
      </c>
      <c r="B106" s="406"/>
      <c r="C106" s="407"/>
      <c r="D106" s="408"/>
      <c r="E106" s="407"/>
      <c r="F106" s="423"/>
      <c r="G106" s="423"/>
      <c r="H106" s="342"/>
      <c r="J106" s="409">
        <v>3</v>
      </c>
      <c r="K106" s="409" t="str">
        <f>K105</f>
        <v>points</v>
      </c>
      <c r="L106" s="409" t="s">
        <v>637</v>
      </c>
      <c r="M106" s="409"/>
    </row>
    <row r="107" spans="1:14">
      <c r="A107" s="443" t="s">
        <v>320</v>
      </c>
      <c r="B107" s="406"/>
      <c r="C107" s="407"/>
      <c r="D107" s="408"/>
      <c r="E107" s="407"/>
      <c r="F107" s="423"/>
      <c r="G107" s="423"/>
      <c r="H107" s="342"/>
      <c r="J107" s="409">
        <v>3</v>
      </c>
      <c r="K107" s="409" t="str">
        <f>K106</f>
        <v>points</v>
      </c>
      <c r="L107" s="409" t="s">
        <v>636</v>
      </c>
      <c r="M107" s="409"/>
    </row>
    <row r="108" spans="1:14">
      <c r="A108" s="443" t="s">
        <v>321</v>
      </c>
      <c r="B108" s="406"/>
      <c r="C108" s="407"/>
      <c r="D108" s="408"/>
      <c r="E108" s="407"/>
      <c r="F108" s="423"/>
      <c r="G108" s="423"/>
      <c r="H108" s="342"/>
      <c r="J108" s="409">
        <v>1</v>
      </c>
      <c r="K108" s="409" t="str">
        <f>K107</f>
        <v>points</v>
      </c>
      <c r="L108" s="409" t="s">
        <v>635</v>
      </c>
      <c r="M108" s="409"/>
    </row>
    <row r="109" spans="1:14">
      <c r="A109" s="443" t="s">
        <v>411</v>
      </c>
      <c r="B109" s="406"/>
      <c r="C109" s="407"/>
      <c r="D109" s="408"/>
      <c r="E109" s="407"/>
      <c r="F109" s="423"/>
      <c r="G109" s="423"/>
      <c r="H109" s="342"/>
      <c r="J109" s="409" t="s">
        <v>634</v>
      </c>
      <c r="K109" s="409"/>
      <c r="L109" s="409"/>
      <c r="M109" s="409"/>
    </row>
    <row r="110" spans="1:14">
      <c r="A110" s="443"/>
      <c r="B110" s="406"/>
      <c r="C110" s="407"/>
      <c r="D110" s="408"/>
      <c r="E110" s="407"/>
      <c r="F110" s="423"/>
      <c r="G110" s="423"/>
      <c r="H110" s="342"/>
      <c r="J110" s="409"/>
      <c r="K110" s="409"/>
      <c r="L110" s="409"/>
      <c r="M110" s="409"/>
    </row>
    <row r="111" spans="1:14">
      <c r="A111" s="443" t="s">
        <v>412</v>
      </c>
      <c r="B111" s="406"/>
      <c r="C111" s="407"/>
      <c r="D111" s="408"/>
      <c r="E111" s="407"/>
      <c r="F111" s="423"/>
      <c r="G111" s="423"/>
      <c r="H111" s="342"/>
      <c r="J111" s="409"/>
      <c r="K111" s="409"/>
      <c r="L111" s="409"/>
      <c r="M111" s="409"/>
    </row>
    <row r="112" spans="1:14">
      <c r="A112" s="435" t="s">
        <v>413</v>
      </c>
      <c r="B112" s="438"/>
      <c r="C112" s="439"/>
      <c r="D112" s="440"/>
      <c r="E112" s="439"/>
      <c r="F112" s="412"/>
      <c r="G112" s="412"/>
      <c r="H112" s="414"/>
      <c r="J112" s="409"/>
      <c r="K112" s="409"/>
      <c r="L112" s="409"/>
      <c r="M112" s="409"/>
    </row>
    <row r="113" spans="1:13">
      <c r="A113" s="407"/>
      <c r="B113" s="406"/>
      <c r="C113" s="407"/>
      <c r="D113" s="408"/>
      <c r="E113" s="407"/>
      <c r="F113" s="423"/>
      <c r="G113" s="423"/>
      <c r="H113" s="346"/>
      <c r="J113" s="409" t="s">
        <v>633</v>
      </c>
      <c r="K113" s="409"/>
      <c r="L113" s="409"/>
      <c r="M113" s="409"/>
    </row>
    <row r="114" spans="1:13">
      <c r="A114" s="387" t="s">
        <v>691</v>
      </c>
      <c r="B114" s="388"/>
      <c r="C114" s="387"/>
      <c r="E114" s="387"/>
      <c r="F114" s="387"/>
      <c r="G114" s="387"/>
    </row>
    <row r="115" spans="1:13">
      <c r="A115" s="387"/>
      <c r="B115" s="388"/>
      <c r="C115" s="387"/>
      <c r="E115" s="387"/>
      <c r="F115" s="387"/>
      <c r="G115" s="387"/>
    </row>
    <row r="116" spans="1:13">
      <c r="A116" s="385" t="s">
        <v>414</v>
      </c>
      <c r="B116" s="385"/>
      <c r="C116" s="385" t="s">
        <v>311</v>
      </c>
      <c r="D116" s="444" t="s">
        <v>311</v>
      </c>
      <c r="E116" s="444" t="s">
        <v>692</v>
      </c>
      <c r="F116" s="444"/>
      <c r="G116" s="444"/>
    </row>
    <row r="117" spans="1:13">
      <c r="A117" s="387" t="s">
        <v>311</v>
      </c>
      <c r="B117" s="387" t="s">
        <v>171</v>
      </c>
      <c r="C117" s="387"/>
    </row>
    <row r="118" spans="1:13">
      <c r="A118" s="445" t="s">
        <v>174</v>
      </c>
      <c r="B118" s="444">
        <f t="shared" ref="B118:D119" si="1">C118-1</f>
        <v>-5</v>
      </c>
      <c r="C118" s="444">
        <f t="shared" si="1"/>
        <v>-4</v>
      </c>
      <c r="D118" s="444">
        <f t="shared" si="1"/>
        <v>-3</v>
      </c>
      <c r="E118" s="446">
        <f>F118-1</f>
        <v>-2</v>
      </c>
      <c r="F118" s="446">
        <f>G118-1</f>
        <v>-1</v>
      </c>
      <c r="G118" s="447">
        <v>0</v>
      </c>
    </row>
    <row r="119" spans="1:13">
      <c r="A119" s="448" t="s">
        <v>175</v>
      </c>
      <c r="B119" s="449">
        <f t="shared" si="1"/>
        <v>1998</v>
      </c>
      <c r="C119" s="449">
        <f t="shared" si="1"/>
        <v>1999</v>
      </c>
      <c r="D119" s="449">
        <f t="shared" si="1"/>
        <v>2000</v>
      </c>
      <c r="E119" s="449">
        <f>F119-1</f>
        <v>2001</v>
      </c>
      <c r="F119" s="450">
        <f>G119-1</f>
        <v>2002</v>
      </c>
      <c r="G119" s="451">
        <v>2003</v>
      </c>
    </row>
    <row r="120" spans="1:13">
      <c r="A120" s="334"/>
      <c r="B120" s="334"/>
      <c r="C120" s="334"/>
      <c r="D120" s="334"/>
      <c r="E120" s="385"/>
      <c r="F120" s="385"/>
    </row>
    <row r="121" spans="1:13">
      <c r="A121" s="334" t="s">
        <v>265</v>
      </c>
      <c r="B121" s="452">
        <v>0</v>
      </c>
      <c r="C121" s="452">
        <v>0</v>
      </c>
      <c r="D121" s="452">
        <v>0</v>
      </c>
      <c r="E121" s="452">
        <v>1697</v>
      </c>
      <c r="F121" s="452">
        <v>2013</v>
      </c>
      <c r="G121" s="452">
        <v>2694</v>
      </c>
    </row>
    <row r="122" spans="1:13">
      <c r="A122" s="453" t="s">
        <v>145</v>
      </c>
      <c r="B122" s="454">
        <v>0</v>
      </c>
      <c r="C122" s="454">
        <v>0</v>
      </c>
      <c r="D122" s="454">
        <v>0</v>
      </c>
      <c r="E122" s="454">
        <v>1222</v>
      </c>
      <c r="F122" s="454">
        <v>1437</v>
      </c>
      <c r="G122" s="454">
        <v>1950</v>
      </c>
    </row>
    <row r="123" spans="1:13">
      <c r="A123" s="334" t="s">
        <v>141</v>
      </c>
      <c r="B123" s="455">
        <f>B121+B122</f>
        <v>0</v>
      </c>
      <c r="C123" s="455">
        <f>C121+C122</f>
        <v>0</v>
      </c>
      <c r="D123" s="455">
        <f>D121+D122</f>
        <v>0</v>
      </c>
      <c r="E123" s="455">
        <f>E121-E122</f>
        <v>475</v>
      </c>
      <c r="F123" s="455">
        <f>F121-F122</f>
        <v>576</v>
      </c>
      <c r="G123" s="455">
        <f>G121-G122</f>
        <v>744</v>
      </c>
    </row>
    <row r="124" spans="1:13">
      <c r="A124" s="334" t="s">
        <v>138</v>
      </c>
      <c r="B124" s="452">
        <v>0</v>
      </c>
      <c r="C124" s="452">
        <v>0</v>
      </c>
      <c r="D124" s="452">
        <v>0</v>
      </c>
      <c r="E124" s="452">
        <v>0</v>
      </c>
      <c r="F124" s="452">
        <v>0</v>
      </c>
      <c r="G124" s="452">
        <v>0</v>
      </c>
    </row>
    <row r="125" spans="1:13">
      <c r="A125" s="334" t="s">
        <v>179</v>
      </c>
      <c r="B125" s="452">
        <v>0</v>
      </c>
      <c r="C125" s="452">
        <v>0</v>
      </c>
      <c r="D125" s="452">
        <v>0</v>
      </c>
      <c r="E125" s="452">
        <v>425</v>
      </c>
      <c r="F125" s="452">
        <v>515</v>
      </c>
      <c r="G125" s="452">
        <v>658</v>
      </c>
    </row>
    <row r="126" spans="1:13">
      <c r="A126" s="334" t="s">
        <v>181</v>
      </c>
      <c r="B126" s="452">
        <v>0</v>
      </c>
      <c r="C126" s="452">
        <v>0</v>
      </c>
      <c r="D126" s="452">
        <v>0</v>
      </c>
      <c r="E126" s="452">
        <v>0</v>
      </c>
      <c r="F126" s="452">
        <v>0</v>
      </c>
      <c r="G126" s="452">
        <v>0</v>
      </c>
    </row>
    <row r="127" spans="1:13">
      <c r="A127" s="334" t="s">
        <v>182</v>
      </c>
      <c r="B127" s="452">
        <v>0</v>
      </c>
      <c r="C127" s="452">
        <v>0</v>
      </c>
      <c r="D127" s="452">
        <v>0</v>
      </c>
      <c r="E127" s="452">
        <v>0</v>
      </c>
      <c r="F127" s="452">
        <v>0</v>
      </c>
      <c r="G127" s="452">
        <v>0</v>
      </c>
    </row>
    <row r="128" spans="1:13">
      <c r="A128" s="334" t="s">
        <v>184</v>
      </c>
      <c r="B128" s="452">
        <v>0</v>
      </c>
      <c r="C128" s="452">
        <v>0</v>
      </c>
      <c r="D128" s="452">
        <v>0</v>
      </c>
      <c r="E128" s="452">
        <v>0</v>
      </c>
      <c r="F128" s="452">
        <v>0</v>
      </c>
      <c r="G128" s="452">
        <v>0</v>
      </c>
    </row>
    <row r="129" spans="1:7">
      <c r="A129" s="453" t="s">
        <v>185</v>
      </c>
      <c r="B129" s="454">
        <v>0</v>
      </c>
      <c r="C129" s="454">
        <v>0</v>
      </c>
      <c r="D129" s="454">
        <v>0</v>
      </c>
      <c r="E129" s="454">
        <v>0</v>
      </c>
      <c r="F129" s="454">
        <v>0</v>
      </c>
      <c r="G129" s="454">
        <v>0</v>
      </c>
    </row>
    <row r="130" spans="1:7">
      <c r="A130" s="334" t="s">
        <v>186</v>
      </c>
      <c r="B130" s="455">
        <f t="shared" ref="B130:G130" si="2">B122+SUM(B124:B129)</f>
        <v>0</v>
      </c>
      <c r="C130" s="455">
        <f t="shared" si="2"/>
        <v>0</v>
      </c>
      <c r="D130" s="455">
        <f t="shared" si="2"/>
        <v>0</v>
      </c>
      <c r="E130" s="455">
        <f t="shared" si="2"/>
        <v>1647</v>
      </c>
      <c r="F130" s="455">
        <f t="shared" si="2"/>
        <v>1952</v>
      </c>
      <c r="G130" s="455">
        <f t="shared" si="2"/>
        <v>2608</v>
      </c>
    </row>
    <row r="131" spans="1:7">
      <c r="A131" s="453" t="s">
        <v>187</v>
      </c>
      <c r="B131" s="456">
        <f>B121+B130</f>
        <v>0</v>
      </c>
      <c r="C131" s="456">
        <f>C121+C130</f>
        <v>0</v>
      </c>
      <c r="D131" s="456">
        <f>D121+D130</f>
        <v>0</v>
      </c>
      <c r="E131" s="456">
        <f>E121-E130</f>
        <v>50</v>
      </c>
      <c r="F131" s="456">
        <f>F121-F130</f>
        <v>61</v>
      </c>
      <c r="G131" s="456">
        <f>G121-G130</f>
        <v>86</v>
      </c>
    </row>
    <row r="132" spans="1:7">
      <c r="A132" s="334" t="s">
        <v>189</v>
      </c>
      <c r="B132" s="452">
        <v>0</v>
      </c>
      <c r="C132" s="452">
        <v>0</v>
      </c>
      <c r="D132" s="452">
        <v>0</v>
      </c>
      <c r="E132" s="452">
        <v>13</v>
      </c>
      <c r="F132" s="452">
        <v>20</v>
      </c>
      <c r="G132" s="452">
        <v>33</v>
      </c>
    </row>
    <row r="133" spans="1:7">
      <c r="A133" s="334" t="s">
        <v>190</v>
      </c>
      <c r="B133" s="452">
        <v>0</v>
      </c>
      <c r="C133" s="452">
        <v>0</v>
      </c>
      <c r="D133" s="452">
        <v>0</v>
      </c>
      <c r="E133" s="452">
        <v>0</v>
      </c>
      <c r="F133" s="452">
        <v>0</v>
      </c>
      <c r="G133" s="452">
        <v>0</v>
      </c>
    </row>
    <row r="134" spans="1:7">
      <c r="A134" s="453" t="s">
        <v>191</v>
      </c>
      <c r="B134" s="454">
        <v>0</v>
      </c>
      <c r="C134" s="454">
        <v>0</v>
      </c>
      <c r="D134" s="454">
        <v>0</v>
      </c>
      <c r="E134" s="454">
        <v>0</v>
      </c>
      <c r="F134" s="454">
        <v>0</v>
      </c>
      <c r="G134" s="454">
        <v>0</v>
      </c>
    </row>
    <row r="135" spans="1:7">
      <c r="A135" s="334" t="s">
        <v>276</v>
      </c>
      <c r="B135" s="455">
        <f>SUM(B131:B134)</f>
        <v>0</v>
      </c>
      <c r="C135" s="455">
        <f>SUM(C131:C134)</f>
        <v>0</v>
      </c>
      <c r="D135" s="455">
        <f>SUM(D131:D134)</f>
        <v>0</v>
      </c>
      <c r="E135" s="455">
        <f>E131-E132+E133-E134</f>
        <v>37</v>
      </c>
      <c r="F135" s="455">
        <f>F131-F132+F133-F134</f>
        <v>41</v>
      </c>
      <c r="G135" s="455">
        <f>G131-G132+G133-G134</f>
        <v>53</v>
      </c>
    </row>
    <row r="136" spans="1:7">
      <c r="A136" s="453" t="s">
        <v>272</v>
      </c>
      <c r="B136" s="454">
        <v>0</v>
      </c>
      <c r="C136" s="454">
        <v>0</v>
      </c>
      <c r="D136" s="454">
        <v>0</v>
      </c>
      <c r="E136" s="454">
        <v>6</v>
      </c>
      <c r="F136" s="454">
        <v>7</v>
      </c>
      <c r="G136" s="454">
        <v>9</v>
      </c>
    </row>
    <row r="137" spans="1:7">
      <c r="A137" s="334" t="s">
        <v>193</v>
      </c>
      <c r="B137" s="455">
        <f>SUM(B135:B136)</f>
        <v>0</v>
      </c>
      <c r="C137" s="455">
        <f>SUM(C135:C136)</f>
        <v>0</v>
      </c>
      <c r="D137" s="455">
        <f>SUM(D135:D136)</f>
        <v>0</v>
      </c>
      <c r="E137" s="455">
        <f>E135-E136</f>
        <v>31</v>
      </c>
      <c r="F137" s="455">
        <f>F135-F136</f>
        <v>34</v>
      </c>
      <c r="G137" s="455">
        <f>G135-G136</f>
        <v>44</v>
      </c>
    </row>
    <row r="138" spans="1:7">
      <c r="A138" s="334" t="s">
        <v>194</v>
      </c>
      <c r="B138" s="452">
        <v>0</v>
      </c>
      <c r="C138" s="452">
        <v>0</v>
      </c>
      <c r="D138" s="452">
        <v>0</v>
      </c>
      <c r="E138" s="452">
        <v>0</v>
      </c>
      <c r="F138" s="452">
        <v>0</v>
      </c>
      <c r="G138" s="452">
        <v>0</v>
      </c>
    </row>
    <row r="139" spans="1:7">
      <c r="A139" s="453" t="s">
        <v>195</v>
      </c>
      <c r="B139" s="454">
        <v>0</v>
      </c>
      <c r="C139" s="454">
        <v>0</v>
      </c>
      <c r="D139" s="454">
        <v>0</v>
      </c>
      <c r="E139" s="454">
        <v>0</v>
      </c>
      <c r="F139" s="454">
        <v>0</v>
      </c>
      <c r="G139" s="454">
        <v>0</v>
      </c>
    </row>
    <row r="140" spans="1:7">
      <c r="A140" s="334" t="s">
        <v>196</v>
      </c>
      <c r="B140" s="455">
        <f t="shared" ref="B140:G140" si="3">SUM(B137:B139)</f>
        <v>0</v>
      </c>
      <c r="C140" s="455">
        <f t="shared" si="3"/>
        <v>0</v>
      </c>
      <c r="D140" s="455">
        <f t="shared" si="3"/>
        <v>0</v>
      </c>
      <c r="E140" s="455">
        <f t="shared" si="3"/>
        <v>31</v>
      </c>
      <c r="F140" s="455">
        <f t="shared" si="3"/>
        <v>34</v>
      </c>
      <c r="G140" s="455">
        <f t="shared" si="3"/>
        <v>44</v>
      </c>
    </row>
    <row r="141" spans="1:7">
      <c r="A141" s="334" t="s">
        <v>262</v>
      </c>
      <c r="B141" s="452">
        <v>0</v>
      </c>
      <c r="C141" s="452">
        <v>0</v>
      </c>
      <c r="D141" s="452">
        <v>0</v>
      </c>
      <c r="E141" s="452">
        <v>0</v>
      </c>
      <c r="F141" s="452">
        <v>0</v>
      </c>
      <c r="G141" s="452">
        <v>0</v>
      </c>
    </row>
    <row r="142" spans="1:7">
      <c r="A142" s="453" t="s">
        <v>198</v>
      </c>
      <c r="B142" s="454">
        <v>0</v>
      </c>
      <c r="C142" s="454">
        <v>0</v>
      </c>
      <c r="D142" s="454">
        <v>0</v>
      </c>
      <c r="E142" s="454">
        <v>0</v>
      </c>
      <c r="F142" s="454">
        <v>0</v>
      </c>
      <c r="G142" s="454">
        <v>0</v>
      </c>
    </row>
    <row r="143" spans="1:7">
      <c r="A143" s="334" t="s">
        <v>260</v>
      </c>
      <c r="B143" s="455">
        <f t="shared" ref="B143:G143" si="4">SUM(B140:B142)</f>
        <v>0</v>
      </c>
      <c r="C143" s="455">
        <f t="shared" si="4"/>
        <v>0</v>
      </c>
      <c r="D143" s="455">
        <f t="shared" si="4"/>
        <v>0</v>
      </c>
      <c r="E143" s="455">
        <f t="shared" si="4"/>
        <v>31</v>
      </c>
      <c r="F143" s="455">
        <f t="shared" si="4"/>
        <v>34</v>
      </c>
      <c r="G143" s="455">
        <f t="shared" si="4"/>
        <v>44</v>
      </c>
    </row>
    <row r="144" spans="1:7">
      <c r="A144" s="334"/>
      <c r="B144" s="334"/>
      <c r="C144" s="334"/>
      <c r="D144" s="457"/>
      <c r="E144" s="457"/>
      <c r="F144" s="457"/>
      <c r="G144" s="457"/>
    </row>
    <row r="145" spans="1:7">
      <c r="A145" s="385" t="s">
        <v>199</v>
      </c>
      <c r="B145" s="385"/>
      <c r="C145" s="385"/>
      <c r="D145" s="457"/>
      <c r="E145" s="457"/>
      <c r="F145" s="457"/>
      <c r="G145" s="457"/>
    </row>
    <row r="146" spans="1:7">
      <c r="A146" s="334" t="s">
        <v>200</v>
      </c>
      <c r="B146" s="458">
        <v>0</v>
      </c>
      <c r="C146" s="458">
        <v>0</v>
      </c>
      <c r="D146" s="458">
        <v>0</v>
      </c>
      <c r="E146" s="459">
        <v>0</v>
      </c>
      <c r="F146" s="459">
        <v>0</v>
      </c>
      <c r="G146" s="459">
        <v>0</v>
      </c>
    </row>
    <row r="147" spans="1:7">
      <c r="A147" s="334" t="s">
        <v>201</v>
      </c>
      <c r="B147" s="460" t="e">
        <f t="shared" ref="B147:G147" si="5">(B129+B134+B138+B139)/B152</f>
        <v>#DIV/0!</v>
      </c>
      <c r="C147" s="460" t="e">
        <f t="shared" si="5"/>
        <v>#DIV/0!</v>
      </c>
      <c r="D147" s="460" t="e">
        <f t="shared" si="5"/>
        <v>#DIV/0!</v>
      </c>
      <c r="E147" s="461" t="e">
        <f t="shared" si="5"/>
        <v>#DIV/0!</v>
      </c>
      <c r="F147" s="461" t="e">
        <f t="shared" si="5"/>
        <v>#DIV/0!</v>
      </c>
      <c r="G147" s="461" t="e">
        <f t="shared" si="5"/>
        <v>#DIV/0!</v>
      </c>
    </row>
    <row r="148" spans="1:7">
      <c r="A148" s="334" t="s">
        <v>202</v>
      </c>
      <c r="B148" s="460" t="e">
        <f t="shared" ref="B148:G148" si="6">B140/B152</f>
        <v>#DIV/0!</v>
      </c>
      <c r="C148" s="460" t="e">
        <f t="shared" si="6"/>
        <v>#DIV/0!</v>
      </c>
      <c r="D148" s="460" t="e">
        <f t="shared" si="6"/>
        <v>#DIV/0!</v>
      </c>
      <c r="E148" s="461" t="e">
        <f t="shared" si="6"/>
        <v>#DIV/0!</v>
      </c>
      <c r="F148" s="461" t="e">
        <f t="shared" si="6"/>
        <v>#DIV/0!</v>
      </c>
      <c r="G148" s="461" t="e">
        <f t="shared" si="6"/>
        <v>#DIV/0!</v>
      </c>
    </row>
    <row r="149" spans="1:7">
      <c r="A149" s="334" t="s">
        <v>63</v>
      </c>
      <c r="B149" s="458" t="s">
        <v>311</v>
      </c>
      <c r="C149" s="458" t="s">
        <v>311</v>
      </c>
      <c r="D149" s="458" t="s">
        <v>311</v>
      </c>
      <c r="E149" s="459">
        <v>0</v>
      </c>
      <c r="F149" s="459">
        <v>0</v>
      </c>
      <c r="G149" s="459">
        <v>0</v>
      </c>
    </row>
    <row r="150" spans="1:7">
      <c r="A150" s="334" t="s">
        <v>64</v>
      </c>
      <c r="B150" s="460" t="e">
        <f t="shared" ref="B150:G150" si="7">-B141/B152</f>
        <v>#DIV/0!</v>
      </c>
      <c r="C150" s="460" t="e">
        <f t="shared" si="7"/>
        <v>#DIV/0!</v>
      </c>
      <c r="D150" s="460" t="e">
        <f t="shared" si="7"/>
        <v>#DIV/0!</v>
      </c>
      <c r="E150" s="461" t="e">
        <f t="shared" si="7"/>
        <v>#DIV/0!</v>
      </c>
      <c r="F150" s="461" t="e">
        <f t="shared" si="7"/>
        <v>#DIV/0!</v>
      </c>
      <c r="G150" s="461" t="e">
        <f t="shared" si="7"/>
        <v>#DIV/0!</v>
      </c>
    </row>
    <row r="151" spans="1:7">
      <c r="A151" s="334" t="s">
        <v>65</v>
      </c>
      <c r="B151" s="462" t="e">
        <f t="shared" ref="B151:G151" si="8">B146/B148</f>
        <v>#DIV/0!</v>
      </c>
      <c r="C151" s="462" t="e">
        <f t="shared" si="8"/>
        <v>#DIV/0!</v>
      </c>
      <c r="D151" s="462" t="e">
        <f t="shared" si="8"/>
        <v>#DIV/0!</v>
      </c>
      <c r="E151" s="462" t="e">
        <f t="shared" si="8"/>
        <v>#DIV/0!</v>
      </c>
      <c r="F151" s="462" t="e">
        <f t="shared" si="8"/>
        <v>#DIV/0!</v>
      </c>
      <c r="G151" s="462" t="e">
        <f t="shared" si="8"/>
        <v>#DIV/0!</v>
      </c>
    </row>
    <row r="152" spans="1:7">
      <c r="A152" s="334" t="s">
        <v>66</v>
      </c>
      <c r="B152" s="463">
        <v>0</v>
      </c>
      <c r="C152" s="463">
        <v>0</v>
      </c>
      <c r="D152" s="463">
        <v>0</v>
      </c>
      <c r="E152" s="463">
        <v>0</v>
      </c>
      <c r="F152" s="463">
        <v>0</v>
      </c>
      <c r="G152" s="463">
        <v>0</v>
      </c>
    </row>
    <row r="153" spans="1:7">
      <c r="A153" s="334"/>
      <c r="B153" s="334"/>
      <c r="C153" s="334"/>
      <c r="D153" s="334" t="s">
        <v>311</v>
      </c>
      <c r="E153" s="334" t="s">
        <v>311</v>
      </c>
      <c r="F153" s="334" t="s">
        <v>311</v>
      </c>
      <c r="G153" s="334" t="s">
        <v>311</v>
      </c>
    </row>
    <row r="154" spans="1:7">
      <c r="A154" s="385" t="s">
        <v>693</v>
      </c>
      <c r="B154" s="385"/>
      <c r="C154" s="385"/>
      <c r="D154" s="464"/>
      <c r="E154" s="464"/>
      <c r="F154" s="464"/>
      <c r="G154" s="464"/>
    </row>
    <row r="155" spans="1:7">
      <c r="B155" s="409" t="s">
        <v>67</v>
      </c>
      <c r="C155" s="409"/>
      <c r="D155" s="409"/>
      <c r="E155" s="409"/>
      <c r="F155" s="409"/>
      <c r="G155" s="409"/>
    </row>
    <row r="156" spans="1:7">
      <c r="A156" s="465" t="str">
        <f t="shared" ref="A156:G157" si="9">A118</f>
        <v>PERIOD</v>
      </c>
      <c r="B156" s="446">
        <f t="shared" si="9"/>
        <v>-5</v>
      </c>
      <c r="C156" s="446">
        <f t="shared" si="9"/>
        <v>-4</v>
      </c>
      <c r="D156" s="446">
        <f t="shared" si="9"/>
        <v>-3</v>
      </c>
      <c r="E156" s="446">
        <f t="shared" si="9"/>
        <v>-2</v>
      </c>
      <c r="F156" s="446">
        <f t="shared" si="9"/>
        <v>-1</v>
      </c>
      <c r="G156" s="446">
        <f t="shared" si="9"/>
        <v>0</v>
      </c>
    </row>
    <row r="157" spans="1:7">
      <c r="A157" s="445" t="s">
        <v>68</v>
      </c>
      <c r="B157" s="449">
        <f t="shared" si="9"/>
        <v>1998</v>
      </c>
      <c r="C157" s="449">
        <f t="shared" si="9"/>
        <v>1999</v>
      </c>
      <c r="D157" s="449">
        <f t="shared" si="9"/>
        <v>2000</v>
      </c>
      <c r="E157" s="449">
        <f t="shared" si="9"/>
        <v>2001</v>
      </c>
      <c r="F157" s="449">
        <f t="shared" si="9"/>
        <v>2002</v>
      </c>
      <c r="G157" s="449">
        <f t="shared" si="9"/>
        <v>2003</v>
      </c>
    </row>
    <row r="158" spans="1:7">
      <c r="A158" s="385" t="s">
        <v>57</v>
      </c>
      <c r="B158" s="385"/>
      <c r="C158" s="385"/>
      <c r="D158" s="385" t="s">
        <v>311</v>
      </c>
      <c r="E158" s="385" t="s">
        <v>311</v>
      </c>
      <c r="F158" s="385" t="s">
        <v>311</v>
      </c>
      <c r="G158" s="385" t="s">
        <v>311</v>
      </c>
    </row>
    <row r="159" spans="1:7">
      <c r="A159" s="385" t="s">
        <v>69</v>
      </c>
      <c r="B159" s="385"/>
      <c r="C159" s="385"/>
      <c r="D159" s="455"/>
      <c r="E159" s="455"/>
      <c r="F159" s="455"/>
      <c r="G159" s="455"/>
    </row>
    <row r="160" spans="1:7">
      <c r="A160" s="334" t="s">
        <v>70</v>
      </c>
      <c r="B160" s="466">
        <v>0</v>
      </c>
      <c r="C160" s="466">
        <v>0</v>
      </c>
      <c r="D160" s="466">
        <v>0</v>
      </c>
      <c r="E160" s="466">
        <v>58</v>
      </c>
      <c r="F160" s="466">
        <v>48</v>
      </c>
      <c r="G160" s="466">
        <v>41</v>
      </c>
    </row>
    <row r="161" spans="1:7">
      <c r="A161" s="334" t="s">
        <v>137</v>
      </c>
      <c r="B161" s="467">
        <v>0</v>
      </c>
      <c r="C161" s="467">
        <v>0</v>
      </c>
      <c r="D161" s="467">
        <v>0</v>
      </c>
      <c r="E161" s="467">
        <v>0</v>
      </c>
      <c r="F161" s="467">
        <v>0</v>
      </c>
      <c r="G161" s="467">
        <v>0</v>
      </c>
    </row>
    <row r="162" spans="1:7">
      <c r="A162" s="334" t="s">
        <v>133</v>
      </c>
      <c r="B162" s="467">
        <v>0</v>
      </c>
      <c r="C162" s="467">
        <v>0</v>
      </c>
      <c r="D162" s="467">
        <v>0</v>
      </c>
      <c r="E162" s="467">
        <v>171</v>
      </c>
      <c r="F162" s="467">
        <v>222</v>
      </c>
      <c r="G162" s="467">
        <v>317</v>
      </c>
    </row>
    <row r="163" spans="1:7">
      <c r="A163" s="334" t="s">
        <v>74</v>
      </c>
      <c r="B163" s="467">
        <v>0</v>
      </c>
      <c r="C163" s="467">
        <v>0</v>
      </c>
      <c r="D163" s="467">
        <v>0</v>
      </c>
      <c r="E163" s="467">
        <v>239</v>
      </c>
      <c r="F163" s="467">
        <v>326</v>
      </c>
      <c r="G163" s="467">
        <v>418</v>
      </c>
    </row>
    <row r="164" spans="1:7">
      <c r="A164" s="453" t="s">
        <v>198</v>
      </c>
      <c r="B164" s="468">
        <v>0</v>
      </c>
      <c r="C164" s="468">
        <v>0</v>
      </c>
      <c r="D164" s="468">
        <v>0</v>
      </c>
      <c r="E164" s="468">
        <v>0</v>
      </c>
      <c r="F164" s="468">
        <v>0</v>
      </c>
      <c r="G164" s="468">
        <v>0</v>
      </c>
    </row>
    <row r="165" spans="1:7">
      <c r="A165" s="334" t="s">
        <v>76</v>
      </c>
      <c r="B165" s="455">
        <f t="shared" ref="B165:G165" si="10">SUM(B160:B164)</f>
        <v>0</v>
      </c>
      <c r="C165" s="455">
        <f t="shared" si="10"/>
        <v>0</v>
      </c>
      <c r="D165" s="455">
        <f t="shared" si="10"/>
        <v>0</v>
      </c>
      <c r="E165" s="455">
        <f t="shared" si="10"/>
        <v>468</v>
      </c>
      <c r="F165" s="455">
        <f t="shared" si="10"/>
        <v>596</v>
      </c>
      <c r="G165" s="455">
        <f t="shared" si="10"/>
        <v>776</v>
      </c>
    </row>
    <row r="166" spans="1:7">
      <c r="A166" s="385" t="s">
        <v>77</v>
      </c>
      <c r="B166" s="334"/>
      <c r="C166" s="334"/>
      <c r="D166" s="334"/>
      <c r="E166" s="334"/>
      <c r="F166" s="334"/>
      <c r="G166" s="334"/>
    </row>
    <row r="167" spans="1:7">
      <c r="A167" s="334" t="s">
        <v>78</v>
      </c>
      <c r="B167" s="452">
        <v>0</v>
      </c>
      <c r="C167" s="452">
        <v>0</v>
      </c>
      <c r="D167" s="452">
        <v>0</v>
      </c>
      <c r="E167" s="452">
        <v>126</v>
      </c>
      <c r="F167" s="452">
        <v>140</v>
      </c>
      <c r="G167" s="452">
        <v>157</v>
      </c>
    </row>
    <row r="168" spans="1:7">
      <c r="A168" s="334" t="s">
        <v>80</v>
      </c>
      <c r="B168" s="454">
        <v>0</v>
      </c>
      <c r="C168" s="454">
        <v>0</v>
      </c>
      <c r="D168" s="454">
        <v>0</v>
      </c>
      <c r="E168" s="454">
        <v>0</v>
      </c>
      <c r="F168" s="454">
        <v>0</v>
      </c>
      <c r="G168" s="454">
        <v>0</v>
      </c>
    </row>
    <row r="169" spans="1:7">
      <c r="A169" s="334" t="s">
        <v>82</v>
      </c>
      <c r="B169" s="455">
        <f t="shared" ref="B169:G169" si="11">B167+B168</f>
        <v>0</v>
      </c>
      <c r="C169" s="455">
        <f t="shared" si="11"/>
        <v>0</v>
      </c>
      <c r="D169" s="455">
        <f t="shared" si="11"/>
        <v>0</v>
      </c>
      <c r="E169" s="455">
        <f t="shared" si="11"/>
        <v>126</v>
      </c>
      <c r="F169" s="455">
        <f t="shared" si="11"/>
        <v>140</v>
      </c>
      <c r="G169" s="455">
        <f t="shared" si="11"/>
        <v>157</v>
      </c>
    </row>
    <row r="170" spans="1:7">
      <c r="A170" s="334" t="s">
        <v>275</v>
      </c>
      <c r="B170" s="452">
        <v>0</v>
      </c>
      <c r="C170" s="452">
        <v>0</v>
      </c>
      <c r="D170" s="452">
        <v>0</v>
      </c>
      <c r="E170" s="452">
        <v>0</v>
      </c>
      <c r="F170" s="452">
        <v>0</v>
      </c>
      <c r="G170" s="452">
        <v>0</v>
      </c>
    </row>
    <row r="171" spans="1:7">
      <c r="A171" s="334" t="s">
        <v>271</v>
      </c>
      <c r="B171" s="452">
        <v>0</v>
      </c>
      <c r="C171" s="452">
        <v>0</v>
      </c>
      <c r="D171" s="452">
        <v>0</v>
      </c>
      <c r="E171" s="452">
        <v>0</v>
      </c>
      <c r="F171" s="452">
        <v>0</v>
      </c>
      <c r="G171" s="452">
        <v>0</v>
      </c>
    </row>
    <row r="172" spans="1:7">
      <c r="A172" s="334" t="s">
        <v>83</v>
      </c>
      <c r="B172" s="452">
        <v>0</v>
      </c>
      <c r="C172" s="452">
        <v>0</v>
      </c>
      <c r="D172" s="452">
        <v>0</v>
      </c>
      <c r="E172" s="452">
        <v>0</v>
      </c>
      <c r="F172" s="452">
        <v>0</v>
      </c>
      <c r="G172" s="452">
        <v>0</v>
      </c>
    </row>
    <row r="173" spans="1:7">
      <c r="A173" s="453" t="s">
        <v>84</v>
      </c>
      <c r="B173" s="454">
        <v>0</v>
      </c>
      <c r="C173" s="454">
        <v>0</v>
      </c>
      <c r="D173" s="454">
        <v>0</v>
      </c>
      <c r="E173" s="454">
        <v>0</v>
      </c>
      <c r="F173" s="454">
        <v>0</v>
      </c>
      <c r="G173" s="454">
        <v>0</v>
      </c>
    </row>
    <row r="174" spans="1:7">
      <c r="A174" s="469" t="s">
        <v>85</v>
      </c>
      <c r="B174" s="470">
        <f t="shared" ref="B174:G174" si="12">SUM(B169:B173)</f>
        <v>0</v>
      </c>
      <c r="C174" s="470">
        <f t="shared" si="12"/>
        <v>0</v>
      </c>
      <c r="D174" s="470">
        <f t="shared" si="12"/>
        <v>0</v>
      </c>
      <c r="E174" s="470">
        <f t="shared" si="12"/>
        <v>126</v>
      </c>
      <c r="F174" s="470">
        <f t="shared" si="12"/>
        <v>140</v>
      </c>
      <c r="G174" s="470">
        <f t="shared" si="12"/>
        <v>157</v>
      </c>
    </row>
    <row r="175" spans="1:7">
      <c r="A175" s="334" t="s">
        <v>86</v>
      </c>
      <c r="B175" s="455">
        <f t="shared" ref="B175:G175" si="13">B165+B174</f>
        <v>0</v>
      </c>
      <c r="C175" s="455">
        <f t="shared" si="13"/>
        <v>0</v>
      </c>
      <c r="D175" s="455">
        <f t="shared" si="13"/>
        <v>0</v>
      </c>
      <c r="E175" s="455">
        <f t="shared" si="13"/>
        <v>594</v>
      </c>
      <c r="F175" s="455">
        <f t="shared" si="13"/>
        <v>736</v>
      </c>
      <c r="G175" s="455">
        <f t="shared" si="13"/>
        <v>933</v>
      </c>
    </row>
    <row r="177" spans="1:7">
      <c r="A177" s="385" t="s">
        <v>147</v>
      </c>
      <c r="B177" s="385"/>
      <c r="C177" s="385"/>
      <c r="D177" s="455" t="s">
        <v>311</v>
      </c>
      <c r="E177" s="455" t="s">
        <v>311</v>
      </c>
      <c r="F177" s="455" t="s">
        <v>311</v>
      </c>
      <c r="G177" s="455" t="s">
        <v>311</v>
      </c>
    </row>
    <row r="178" spans="1:7">
      <c r="A178" s="385" t="s">
        <v>87</v>
      </c>
      <c r="B178" s="385"/>
      <c r="C178" s="385"/>
      <c r="D178" s="455"/>
      <c r="E178" s="455"/>
      <c r="F178" s="455"/>
      <c r="G178" s="455"/>
    </row>
    <row r="179" spans="1:7">
      <c r="A179" s="334" t="s">
        <v>88</v>
      </c>
      <c r="B179" s="452">
        <v>0</v>
      </c>
      <c r="C179" s="452">
        <v>0</v>
      </c>
      <c r="D179" s="452">
        <v>0</v>
      </c>
      <c r="E179" s="452">
        <v>124</v>
      </c>
      <c r="F179" s="452">
        <v>192</v>
      </c>
      <c r="G179" s="452">
        <v>256</v>
      </c>
    </row>
    <row r="180" spans="1:7">
      <c r="A180" s="334" t="s">
        <v>274</v>
      </c>
      <c r="B180" s="452">
        <v>0</v>
      </c>
      <c r="C180" s="452">
        <v>0</v>
      </c>
      <c r="D180" s="452">
        <v>0</v>
      </c>
      <c r="E180" s="452">
        <v>0</v>
      </c>
      <c r="F180" s="452">
        <v>0</v>
      </c>
      <c r="G180" s="452">
        <v>0</v>
      </c>
    </row>
    <row r="181" spans="1:7">
      <c r="A181" s="334" t="s">
        <v>132</v>
      </c>
      <c r="B181" s="452">
        <v>0</v>
      </c>
      <c r="C181" s="452">
        <v>0</v>
      </c>
      <c r="D181" s="452">
        <v>0</v>
      </c>
      <c r="E181" s="452">
        <v>0</v>
      </c>
      <c r="F181" s="452">
        <v>0</v>
      </c>
      <c r="G181" s="452">
        <v>0</v>
      </c>
    </row>
    <row r="182" spans="1:7">
      <c r="A182" s="334" t="s">
        <v>90</v>
      </c>
      <c r="B182" s="452">
        <v>0</v>
      </c>
      <c r="C182" s="452">
        <v>0</v>
      </c>
      <c r="D182" s="452">
        <v>0</v>
      </c>
      <c r="E182" s="471">
        <v>0</v>
      </c>
      <c r="F182" s="471">
        <v>0</v>
      </c>
      <c r="G182" s="471">
        <v>0</v>
      </c>
    </row>
    <row r="183" spans="1:7">
      <c r="A183" s="334" t="s">
        <v>91</v>
      </c>
      <c r="B183" s="471">
        <v>0</v>
      </c>
      <c r="C183" s="471">
        <v>0</v>
      </c>
      <c r="D183" s="471">
        <v>0</v>
      </c>
      <c r="E183" s="472">
        <v>112</v>
      </c>
      <c r="F183" s="472">
        <v>153</v>
      </c>
      <c r="G183" s="472">
        <v>240</v>
      </c>
    </row>
    <row r="184" spans="1:7">
      <c r="A184" s="453" t="s">
        <v>198</v>
      </c>
      <c r="B184" s="454">
        <v>0</v>
      </c>
      <c r="C184" s="454">
        <v>0</v>
      </c>
      <c r="D184" s="454">
        <v>0</v>
      </c>
      <c r="E184" s="454">
        <v>24</v>
      </c>
      <c r="F184" s="454">
        <v>30</v>
      </c>
      <c r="G184" s="454">
        <v>39</v>
      </c>
    </row>
    <row r="185" spans="1:7">
      <c r="A185" s="334" t="s">
        <v>229</v>
      </c>
      <c r="B185" s="455">
        <f t="shared" ref="B185:G185" si="14">SUM(B179:B184)</f>
        <v>0</v>
      </c>
      <c r="C185" s="455">
        <f t="shared" si="14"/>
        <v>0</v>
      </c>
      <c r="D185" s="455">
        <f t="shared" si="14"/>
        <v>0</v>
      </c>
      <c r="E185" s="455">
        <f t="shared" si="14"/>
        <v>260</v>
      </c>
      <c r="F185" s="455">
        <f t="shared" si="14"/>
        <v>375</v>
      </c>
      <c r="G185" s="455">
        <f t="shared" si="14"/>
        <v>535</v>
      </c>
    </row>
    <row r="186" spans="1:7">
      <c r="A186" s="385" t="s">
        <v>92</v>
      </c>
      <c r="B186" s="455"/>
      <c r="C186" s="455"/>
      <c r="D186" s="455"/>
      <c r="E186" s="455"/>
      <c r="F186" s="455"/>
      <c r="G186" s="455"/>
    </row>
    <row r="187" spans="1:7">
      <c r="A187" s="334" t="s">
        <v>274</v>
      </c>
      <c r="B187" s="452">
        <v>0</v>
      </c>
      <c r="C187" s="452">
        <v>0</v>
      </c>
      <c r="D187" s="452">
        <v>0</v>
      </c>
      <c r="E187" s="452">
        <v>0</v>
      </c>
      <c r="F187" s="452">
        <v>0</v>
      </c>
      <c r="G187" s="452">
        <v>0</v>
      </c>
    </row>
    <row r="188" spans="1:7">
      <c r="A188" s="334" t="s">
        <v>270</v>
      </c>
      <c r="B188" s="452">
        <v>0</v>
      </c>
      <c r="C188" s="452">
        <v>0</v>
      </c>
      <c r="D188" s="452">
        <v>0</v>
      </c>
      <c r="E188" s="452">
        <v>0</v>
      </c>
      <c r="F188" s="452">
        <v>0</v>
      </c>
      <c r="G188" s="452">
        <v>0</v>
      </c>
    </row>
    <row r="189" spans="1:7">
      <c r="A189" s="334" t="s">
        <v>93</v>
      </c>
      <c r="B189" s="452">
        <v>0</v>
      </c>
      <c r="C189" s="452">
        <v>0</v>
      </c>
      <c r="D189" s="452">
        <v>0</v>
      </c>
      <c r="E189" s="452">
        <v>0</v>
      </c>
      <c r="F189" s="452">
        <v>0</v>
      </c>
      <c r="G189" s="452">
        <v>0</v>
      </c>
    </row>
    <row r="190" spans="1:7">
      <c r="A190" s="334" t="s">
        <v>94</v>
      </c>
      <c r="B190" s="471">
        <v>0</v>
      </c>
      <c r="C190" s="471">
        <v>0</v>
      </c>
      <c r="D190" s="471">
        <v>0</v>
      </c>
      <c r="E190" s="471">
        <v>64</v>
      </c>
      <c r="F190" s="471">
        <v>57</v>
      </c>
      <c r="G190" s="471">
        <v>50</v>
      </c>
    </row>
    <row r="191" spans="1:7">
      <c r="A191" s="453" t="s">
        <v>198</v>
      </c>
      <c r="B191" s="454">
        <v>0</v>
      </c>
      <c r="C191" s="454">
        <v>0</v>
      </c>
      <c r="D191" s="454">
        <v>0</v>
      </c>
      <c r="E191" s="454">
        <v>0</v>
      </c>
      <c r="F191" s="454">
        <v>0</v>
      </c>
      <c r="G191" s="454">
        <v>0</v>
      </c>
    </row>
    <row r="192" spans="1:7">
      <c r="A192" s="469" t="s">
        <v>95</v>
      </c>
      <c r="B192" s="470">
        <f t="shared" ref="B192:G192" si="15">SUM(B187:B191)</f>
        <v>0</v>
      </c>
      <c r="C192" s="470">
        <f t="shared" si="15"/>
        <v>0</v>
      </c>
      <c r="D192" s="470">
        <f t="shared" si="15"/>
        <v>0</v>
      </c>
      <c r="E192" s="470">
        <f t="shared" si="15"/>
        <v>64</v>
      </c>
      <c r="F192" s="470">
        <f t="shared" si="15"/>
        <v>57</v>
      </c>
      <c r="G192" s="470">
        <f t="shared" si="15"/>
        <v>50</v>
      </c>
    </row>
    <row r="193" spans="1:7">
      <c r="A193" s="453" t="s">
        <v>227</v>
      </c>
      <c r="B193" s="456">
        <f t="shared" ref="B193:G193" si="16">B185+B192</f>
        <v>0</v>
      </c>
      <c r="C193" s="456">
        <f t="shared" si="16"/>
        <v>0</v>
      </c>
      <c r="D193" s="456">
        <f t="shared" si="16"/>
        <v>0</v>
      </c>
      <c r="E193" s="456">
        <f t="shared" si="16"/>
        <v>324</v>
      </c>
      <c r="F193" s="456">
        <f t="shared" si="16"/>
        <v>432</v>
      </c>
      <c r="G193" s="456">
        <f t="shared" si="16"/>
        <v>585</v>
      </c>
    </row>
    <row r="194" spans="1:7">
      <c r="A194" s="385" t="s">
        <v>96</v>
      </c>
      <c r="B194" s="455"/>
      <c r="C194" s="455"/>
      <c r="D194" s="455"/>
      <c r="E194" s="455"/>
      <c r="F194" s="455"/>
      <c r="G194" s="455"/>
    </row>
    <row r="195" spans="1:7">
      <c r="A195" s="334" t="s">
        <v>226</v>
      </c>
      <c r="B195" s="452">
        <v>0</v>
      </c>
      <c r="C195" s="452">
        <v>0</v>
      </c>
      <c r="D195" s="452">
        <v>0</v>
      </c>
      <c r="E195" s="452">
        <v>0</v>
      </c>
      <c r="F195" s="452">
        <v>0</v>
      </c>
      <c r="G195" s="452">
        <v>0</v>
      </c>
    </row>
    <row r="196" spans="1:7">
      <c r="A196" s="334" t="s">
        <v>162</v>
      </c>
      <c r="B196" s="452">
        <v>0</v>
      </c>
      <c r="C196" s="452">
        <v>0</v>
      </c>
      <c r="D196" s="452">
        <v>0</v>
      </c>
      <c r="E196" s="452">
        <v>0</v>
      </c>
      <c r="F196" s="452">
        <v>0</v>
      </c>
      <c r="G196" s="452">
        <v>0</v>
      </c>
    </row>
    <row r="197" spans="1:7">
      <c r="A197" s="334" t="s">
        <v>97</v>
      </c>
      <c r="B197" s="452">
        <v>0</v>
      </c>
      <c r="C197" s="452">
        <v>0</v>
      </c>
      <c r="D197" s="452">
        <v>0</v>
      </c>
      <c r="E197" s="452">
        <v>0</v>
      </c>
      <c r="F197" s="452">
        <v>0</v>
      </c>
      <c r="G197" s="452">
        <v>0</v>
      </c>
    </row>
    <row r="198" spans="1:7">
      <c r="A198" s="334" t="s">
        <v>195</v>
      </c>
      <c r="B198" s="471">
        <v>0</v>
      </c>
      <c r="C198" s="471">
        <v>0</v>
      </c>
      <c r="D198" s="471">
        <v>0</v>
      </c>
      <c r="E198" s="452">
        <v>0</v>
      </c>
      <c r="F198" s="452">
        <v>0</v>
      </c>
      <c r="G198" s="452">
        <v>0</v>
      </c>
    </row>
    <row r="199" spans="1:7">
      <c r="A199" s="453" t="s">
        <v>161</v>
      </c>
      <c r="B199" s="454">
        <v>0</v>
      </c>
      <c r="C199" s="454">
        <v>0</v>
      </c>
      <c r="D199" s="454">
        <v>0</v>
      </c>
      <c r="E199" s="471">
        <v>270</v>
      </c>
      <c r="F199" s="471">
        <v>304</v>
      </c>
      <c r="G199" s="471">
        <v>348</v>
      </c>
    </row>
    <row r="200" spans="1:7">
      <c r="A200" s="469" t="s">
        <v>110</v>
      </c>
      <c r="B200" s="470">
        <f t="shared" ref="B200:G200" si="17">SUM(B195:B199)</f>
        <v>0</v>
      </c>
      <c r="C200" s="470">
        <f t="shared" si="17"/>
        <v>0</v>
      </c>
      <c r="D200" s="470">
        <f t="shared" si="17"/>
        <v>0</v>
      </c>
      <c r="E200" s="470">
        <f t="shared" si="17"/>
        <v>270</v>
      </c>
      <c r="F200" s="470">
        <f t="shared" si="17"/>
        <v>304</v>
      </c>
      <c r="G200" s="470">
        <f t="shared" si="17"/>
        <v>348</v>
      </c>
    </row>
    <row r="201" spans="1:7">
      <c r="A201" s="473" t="s">
        <v>194</v>
      </c>
      <c r="B201" s="474">
        <v>0</v>
      </c>
      <c r="C201" s="474">
        <v>0</v>
      </c>
      <c r="D201" s="474">
        <v>0</v>
      </c>
      <c r="E201" s="474">
        <v>0</v>
      </c>
      <c r="F201" s="474">
        <v>0</v>
      </c>
      <c r="G201" s="474">
        <v>0</v>
      </c>
    </row>
    <row r="202" spans="1:7">
      <c r="A202" s="334" t="s">
        <v>112</v>
      </c>
      <c r="B202" s="455">
        <f t="shared" ref="B202:G202" si="18">B193+B200+B201</f>
        <v>0</v>
      </c>
      <c r="C202" s="455">
        <f t="shared" si="18"/>
        <v>0</v>
      </c>
      <c r="D202" s="455">
        <f t="shared" si="18"/>
        <v>0</v>
      </c>
      <c r="E202" s="455">
        <f t="shared" si="18"/>
        <v>594</v>
      </c>
      <c r="F202" s="455">
        <f t="shared" si="18"/>
        <v>736</v>
      </c>
      <c r="G202" s="455">
        <f t="shared" si="18"/>
        <v>933</v>
      </c>
    </row>
    <row r="203" spans="1:7">
      <c r="A203" s="334"/>
      <c r="B203" s="334"/>
      <c r="C203" s="334"/>
      <c r="D203" s="334"/>
      <c r="E203" s="334"/>
      <c r="F203" s="334"/>
      <c r="G203" s="334"/>
    </row>
    <row r="204" spans="1:7">
      <c r="A204" s="409" t="s">
        <v>114</v>
      </c>
      <c r="B204" s="409" t="s">
        <v>115</v>
      </c>
      <c r="C204" s="409"/>
    </row>
    <row r="205" spans="1:7">
      <c r="A205" s="465" t="s">
        <v>174</v>
      </c>
      <c r="B205" s="446">
        <f t="shared" ref="B205:D206" si="19">B156</f>
        <v>-5</v>
      </c>
      <c r="C205" s="446">
        <f t="shared" si="19"/>
        <v>-4</v>
      </c>
      <c r="D205" s="446">
        <f t="shared" si="19"/>
        <v>-3</v>
      </c>
      <c r="E205" s="446">
        <f>+E118</f>
        <v>-2</v>
      </c>
      <c r="F205" s="446">
        <f>F118</f>
        <v>-1</v>
      </c>
      <c r="G205" s="446">
        <f>G118</f>
        <v>0</v>
      </c>
    </row>
    <row r="206" spans="1:7">
      <c r="A206" s="465" t="s">
        <v>116</v>
      </c>
      <c r="B206" s="355">
        <f t="shared" si="19"/>
        <v>1998</v>
      </c>
      <c r="C206" s="355">
        <f t="shared" si="19"/>
        <v>1999</v>
      </c>
      <c r="D206" s="355">
        <f t="shared" si="19"/>
        <v>2000</v>
      </c>
      <c r="E206" s="355">
        <f>E157</f>
        <v>2001</v>
      </c>
      <c r="F206" s="355">
        <f>F157</f>
        <v>2002</v>
      </c>
      <c r="G206" s="355">
        <f>G157</f>
        <v>2003</v>
      </c>
    </row>
    <row r="207" spans="1:7">
      <c r="A207" s="409" t="s">
        <v>117</v>
      </c>
      <c r="B207" s="409"/>
      <c r="C207" s="409"/>
    </row>
    <row r="208" spans="1:7">
      <c r="A208" s="391" t="s">
        <v>119</v>
      </c>
      <c r="B208" s="475" t="e">
        <f t="shared" ref="B208:G208" si="20">B165/B185</f>
        <v>#DIV/0!</v>
      </c>
      <c r="C208" s="475" t="e">
        <f t="shared" si="20"/>
        <v>#DIV/0!</v>
      </c>
      <c r="D208" s="475" t="e">
        <f t="shared" si="20"/>
        <v>#DIV/0!</v>
      </c>
      <c r="E208" s="475">
        <f t="shared" si="20"/>
        <v>1.8</v>
      </c>
      <c r="F208" s="475">
        <f t="shared" si="20"/>
        <v>1.5893333333333333</v>
      </c>
      <c r="G208" s="475">
        <f t="shared" si="20"/>
        <v>1.4504672897196262</v>
      </c>
    </row>
    <row r="209" spans="1:7">
      <c r="A209" s="391" t="s">
        <v>120</v>
      </c>
      <c r="B209" s="475" t="e">
        <f t="shared" ref="B209:G209" si="21">(B165-B163)/B185</f>
        <v>#DIV/0!</v>
      </c>
      <c r="C209" s="475" t="e">
        <f t="shared" si="21"/>
        <v>#DIV/0!</v>
      </c>
      <c r="D209" s="475" t="e">
        <f t="shared" si="21"/>
        <v>#DIV/0!</v>
      </c>
      <c r="E209" s="475">
        <f t="shared" si="21"/>
        <v>0.88076923076923075</v>
      </c>
      <c r="F209" s="475">
        <f t="shared" si="21"/>
        <v>0.72</v>
      </c>
      <c r="G209" s="475">
        <f t="shared" si="21"/>
        <v>0.66915887850467293</v>
      </c>
    </row>
    <row r="210" spans="1:7">
      <c r="A210" s="391" t="s">
        <v>121</v>
      </c>
      <c r="B210" s="475" t="e">
        <f t="shared" ref="B210:G210" si="22">B162/(B121/365)</f>
        <v>#DIV/0!</v>
      </c>
      <c r="C210" s="475" t="e">
        <f t="shared" si="22"/>
        <v>#DIV/0!</v>
      </c>
      <c r="D210" s="475" t="e">
        <f t="shared" si="22"/>
        <v>#DIV/0!</v>
      </c>
      <c r="E210" s="475">
        <f t="shared" si="22"/>
        <v>36.779611078373605</v>
      </c>
      <c r="F210" s="475">
        <f t="shared" si="22"/>
        <v>40.253353204172875</v>
      </c>
      <c r="G210" s="475">
        <f t="shared" si="22"/>
        <v>42.949146250927988</v>
      </c>
    </row>
    <row r="211" spans="1:7">
      <c r="A211" s="391" t="s">
        <v>124</v>
      </c>
      <c r="B211" s="475" t="e">
        <f>-B163/(B122/365)</f>
        <v>#DIV/0!</v>
      </c>
      <c r="C211" s="475" t="e">
        <f>-C163/(C122/365)</f>
        <v>#DIV/0!</v>
      </c>
      <c r="D211" s="475" t="e">
        <f>-D163/(D122/365)</f>
        <v>#DIV/0!</v>
      </c>
      <c r="E211" s="475">
        <f>E163/(E122/365)</f>
        <v>71.387070376432078</v>
      </c>
      <c r="F211" s="475">
        <f>F163/(F122/365)</f>
        <v>82.804453723034101</v>
      </c>
      <c r="G211" s="475">
        <f>G163/(G122/365)</f>
        <v>78.241025641025644</v>
      </c>
    </row>
    <row r="212" spans="1:7">
      <c r="A212" s="391" t="s">
        <v>126</v>
      </c>
      <c r="B212" s="475" t="e">
        <f>-B179/(B122/365)</f>
        <v>#DIV/0!</v>
      </c>
      <c r="C212" s="475" t="e">
        <f>-C179/(C122/365)</f>
        <v>#DIV/0!</v>
      </c>
      <c r="D212" s="475" t="e">
        <f>-D179/(D122/365)</f>
        <v>#DIV/0!</v>
      </c>
      <c r="E212" s="475">
        <f>E179/(E122/365)</f>
        <v>37.037643207855979</v>
      </c>
      <c r="F212" s="475">
        <f>F179/(F122/365)</f>
        <v>48.768267223382047</v>
      </c>
      <c r="G212" s="475">
        <f>G179/(G122/365)</f>
        <v>47.917948717948718</v>
      </c>
    </row>
    <row r="213" spans="1:7">
      <c r="A213" s="391"/>
    </row>
    <row r="214" spans="1:7">
      <c r="A214" s="409" t="s">
        <v>128</v>
      </c>
      <c r="B214" s="391"/>
      <c r="C214" s="391"/>
      <c r="D214" s="391"/>
      <c r="E214" s="391"/>
      <c r="F214" s="391"/>
      <c r="G214" s="391"/>
    </row>
    <row r="215" spans="1:7">
      <c r="A215" s="391" t="s">
        <v>129</v>
      </c>
      <c r="B215" s="476" t="e">
        <f t="shared" ref="B215:G215" si="23">(B189+B190)/(B189+B190+B200)</f>
        <v>#DIV/0!</v>
      </c>
      <c r="C215" s="476" t="e">
        <f t="shared" si="23"/>
        <v>#DIV/0!</v>
      </c>
      <c r="D215" s="476" t="e">
        <f t="shared" si="23"/>
        <v>#DIV/0!</v>
      </c>
      <c r="E215" s="476">
        <f t="shared" si="23"/>
        <v>0.19161676646706588</v>
      </c>
      <c r="F215" s="476">
        <f t="shared" si="23"/>
        <v>0.15789473684210525</v>
      </c>
      <c r="G215" s="476">
        <f t="shared" si="23"/>
        <v>0.12562814070351758</v>
      </c>
    </row>
    <row r="216" spans="1:7">
      <c r="A216" s="391" t="s">
        <v>30</v>
      </c>
      <c r="B216" s="476" t="e">
        <f t="shared" ref="B216:G216" si="24">(B189+B190)/(B200)</f>
        <v>#DIV/0!</v>
      </c>
      <c r="C216" s="476" t="e">
        <f t="shared" si="24"/>
        <v>#DIV/0!</v>
      </c>
      <c r="D216" s="476" t="e">
        <f t="shared" si="24"/>
        <v>#DIV/0!</v>
      </c>
      <c r="E216" s="476">
        <f t="shared" si="24"/>
        <v>0.23703703703703705</v>
      </c>
      <c r="F216" s="476">
        <f t="shared" si="24"/>
        <v>0.1875</v>
      </c>
      <c r="G216" s="476">
        <f t="shared" si="24"/>
        <v>0.14367816091954022</v>
      </c>
    </row>
    <row r="217" spans="1:7">
      <c r="A217" s="391" t="s">
        <v>31</v>
      </c>
      <c r="B217" s="475" t="e">
        <f>-B131/B132</f>
        <v>#DIV/0!</v>
      </c>
      <c r="C217" s="475" t="e">
        <f>-C131/C132</f>
        <v>#DIV/0!</v>
      </c>
      <c r="D217" s="475" t="e">
        <f>-D131/D132</f>
        <v>#DIV/0!</v>
      </c>
      <c r="E217" s="475">
        <f>E131/E132</f>
        <v>3.8461538461538463</v>
      </c>
      <c r="F217" s="475">
        <f>F131/F132</f>
        <v>3.05</v>
      </c>
      <c r="G217" s="475">
        <f>G131/G132</f>
        <v>2.606060606060606</v>
      </c>
    </row>
    <row r="218" spans="1:7">
      <c r="A218" s="391" t="s">
        <v>33</v>
      </c>
      <c r="B218" s="475" t="e">
        <f>(B131+B182)/((-B132+B182)/(1-(-B136/B135)))</f>
        <v>#DIV/0!</v>
      </c>
      <c r="C218" s="475" t="e">
        <f>(C131+C182)/((-C132+C182)/(1-(-C136/C135)))</f>
        <v>#DIV/0!</v>
      </c>
      <c r="D218" s="475" t="e">
        <f>(D131+D182)/((-D132+D182)/(1-(-D136/D135)))</f>
        <v>#DIV/0!</v>
      </c>
      <c r="E218" s="475">
        <f>(E131+E182)/((E132+E182)/(1-(E136/E135)))</f>
        <v>3.2224532224532227</v>
      </c>
      <c r="F218" s="475">
        <f>(F131+F182)/((F132+F182)/(1-(F136/F135)))</f>
        <v>2.5292682926829269</v>
      </c>
      <c r="G218" s="475">
        <f>(G131+G182)/((G132+G182)/(1-(G136/G135)))</f>
        <v>2.1635220125786163</v>
      </c>
    </row>
    <row r="220" spans="1:7">
      <c r="A220" s="409" t="s">
        <v>34</v>
      </c>
    </row>
    <row r="221" spans="1:7">
      <c r="A221" s="391" t="s">
        <v>36</v>
      </c>
      <c r="B221" s="475" t="e">
        <f t="shared" ref="B221:G221" si="25">B121/B174</f>
        <v>#DIV/0!</v>
      </c>
      <c r="C221" s="475" t="e">
        <f t="shared" si="25"/>
        <v>#DIV/0!</v>
      </c>
      <c r="D221" s="475" t="e">
        <f t="shared" si="25"/>
        <v>#DIV/0!</v>
      </c>
      <c r="E221" s="475">
        <f t="shared" si="25"/>
        <v>13.468253968253968</v>
      </c>
      <c r="F221" s="475">
        <f t="shared" si="25"/>
        <v>14.378571428571428</v>
      </c>
      <c r="G221" s="475">
        <f t="shared" si="25"/>
        <v>17.159235668789808</v>
      </c>
    </row>
    <row r="222" spans="1:7">
      <c r="A222" s="391" t="s">
        <v>37</v>
      </c>
      <c r="B222" s="475" t="e">
        <f t="shared" ref="B222:G222" si="26">B121/B175</f>
        <v>#DIV/0!</v>
      </c>
      <c r="C222" s="475" t="e">
        <f t="shared" si="26"/>
        <v>#DIV/0!</v>
      </c>
      <c r="D222" s="475" t="e">
        <f t="shared" si="26"/>
        <v>#DIV/0!</v>
      </c>
      <c r="E222" s="475">
        <f t="shared" si="26"/>
        <v>2.8569023569023568</v>
      </c>
      <c r="F222" s="475">
        <f t="shared" si="26"/>
        <v>2.7350543478260869</v>
      </c>
      <c r="G222" s="475">
        <f t="shared" si="26"/>
        <v>2.887459807073955</v>
      </c>
    </row>
    <row r="223" spans="1:7">
      <c r="A223" s="391"/>
    </row>
    <row r="224" spans="1:7">
      <c r="A224" s="409" t="s">
        <v>38</v>
      </c>
      <c r="B224" s="391"/>
      <c r="C224" s="391"/>
      <c r="D224" s="391"/>
      <c r="E224" s="391"/>
      <c r="F224" s="391"/>
      <c r="G224" s="391"/>
    </row>
    <row r="225" spans="1:7">
      <c r="A225" s="391" t="s">
        <v>39</v>
      </c>
      <c r="B225" s="476" t="e">
        <f t="shared" ref="B225:G225" si="27">B123/B121</f>
        <v>#DIV/0!</v>
      </c>
      <c r="C225" s="476" t="e">
        <f t="shared" si="27"/>
        <v>#DIV/0!</v>
      </c>
      <c r="D225" s="476" t="e">
        <f t="shared" si="27"/>
        <v>#DIV/0!</v>
      </c>
      <c r="E225" s="476">
        <f t="shared" si="27"/>
        <v>0.2799057159693577</v>
      </c>
      <c r="F225" s="476">
        <f t="shared" si="27"/>
        <v>0.28614008941877794</v>
      </c>
      <c r="G225" s="476">
        <f t="shared" si="27"/>
        <v>0.27616926503340755</v>
      </c>
    </row>
    <row r="226" spans="1:7">
      <c r="A226" s="391" t="s">
        <v>40</v>
      </c>
      <c r="B226" s="476" t="e">
        <f t="shared" ref="B226:G226" si="28">B131/B121</f>
        <v>#DIV/0!</v>
      </c>
      <c r="C226" s="476" t="e">
        <f t="shared" si="28"/>
        <v>#DIV/0!</v>
      </c>
      <c r="D226" s="476" t="e">
        <f t="shared" si="28"/>
        <v>#DIV/0!</v>
      </c>
      <c r="E226" s="476">
        <f t="shared" si="28"/>
        <v>2.9463759575721862E-2</v>
      </c>
      <c r="F226" s="476">
        <f t="shared" si="28"/>
        <v>3.0303030303030304E-2</v>
      </c>
      <c r="G226" s="476">
        <f t="shared" si="28"/>
        <v>3.1922791388270227E-2</v>
      </c>
    </row>
    <row r="227" spans="1:7">
      <c r="A227" s="332" t="s">
        <v>41</v>
      </c>
      <c r="B227" s="477" t="e">
        <f t="shared" ref="B227:G227" si="29">B140/B121</f>
        <v>#DIV/0!</v>
      </c>
      <c r="C227" s="477" t="e">
        <f t="shared" si="29"/>
        <v>#DIV/0!</v>
      </c>
      <c r="D227" s="477" t="e">
        <f t="shared" si="29"/>
        <v>#DIV/0!</v>
      </c>
      <c r="E227" s="477">
        <f t="shared" si="29"/>
        <v>1.8267530936947555E-2</v>
      </c>
      <c r="F227" s="477">
        <f t="shared" si="29"/>
        <v>1.6890213611525089E-2</v>
      </c>
      <c r="G227" s="477">
        <f t="shared" si="29"/>
        <v>1.6332590942835932E-2</v>
      </c>
    </row>
    <row r="228" spans="1:7">
      <c r="A228" s="391" t="s">
        <v>42</v>
      </c>
      <c r="B228" s="476" t="e">
        <f t="shared" ref="B228:G228" si="30">B140/B175</f>
        <v>#DIV/0!</v>
      </c>
      <c r="C228" s="476" t="e">
        <f t="shared" si="30"/>
        <v>#DIV/0!</v>
      </c>
      <c r="D228" s="476" t="e">
        <f t="shared" si="30"/>
        <v>#DIV/0!</v>
      </c>
      <c r="E228" s="476">
        <f t="shared" si="30"/>
        <v>5.2188552188552187E-2</v>
      </c>
      <c r="F228" s="476">
        <f t="shared" si="30"/>
        <v>4.619565217391304E-2</v>
      </c>
      <c r="G228" s="476">
        <f t="shared" si="30"/>
        <v>4.7159699892818867E-2</v>
      </c>
    </row>
    <row r="229" spans="1:7">
      <c r="A229" s="391" t="s">
        <v>43</v>
      </c>
      <c r="B229" s="476" t="e">
        <f t="shared" ref="B229:G229" si="31">B140/(B200)</f>
        <v>#DIV/0!</v>
      </c>
      <c r="C229" s="476" t="e">
        <f t="shared" si="31"/>
        <v>#DIV/0!</v>
      </c>
      <c r="D229" s="476" t="e">
        <f t="shared" si="31"/>
        <v>#DIV/0!</v>
      </c>
      <c r="E229" s="476">
        <f t="shared" si="31"/>
        <v>0.11481481481481481</v>
      </c>
      <c r="F229" s="476">
        <f t="shared" si="31"/>
        <v>0.1118421052631579</v>
      </c>
      <c r="G229" s="476">
        <f t="shared" si="31"/>
        <v>0.12643678160919541</v>
      </c>
    </row>
    <row r="230" spans="1:7">
      <c r="A230" s="391" t="s">
        <v>44</v>
      </c>
      <c r="B230" s="476" t="e">
        <f>(B131*(1-(-B136/B135)))/B175</f>
        <v>#DIV/0!</v>
      </c>
      <c r="C230" s="476" t="e">
        <f>(C131*(1-(-C136/C135)))/C175</f>
        <v>#DIV/0!</v>
      </c>
      <c r="D230" s="476" t="e">
        <f>(D131*(1-(-D136/D135)))/D175</f>
        <v>#DIV/0!</v>
      </c>
      <c r="E230" s="476">
        <f>(E131*(1-(E136/E135)))/E175</f>
        <v>7.0525070525070524E-2</v>
      </c>
      <c r="F230" s="476">
        <f>(F131*(1-(F136/F135)))/F175</f>
        <v>6.8730116648992576E-2</v>
      </c>
      <c r="G230" s="476">
        <f>(G131*(1-(G136/G135)))/G175</f>
        <v>7.6523286618536274E-2</v>
      </c>
    </row>
    <row r="232" spans="1:7">
      <c r="A232" s="409" t="s">
        <v>45</v>
      </c>
      <c r="B232" s="476" t="e">
        <f t="shared" ref="B232:G232" si="32">B235*B234*B233</f>
        <v>#DIV/0!</v>
      </c>
      <c r="C232" s="476" t="e">
        <f t="shared" si="32"/>
        <v>#DIV/0!</v>
      </c>
      <c r="D232" s="476" t="e">
        <f t="shared" si="32"/>
        <v>#DIV/0!</v>
      </c>
      <c r="E232" s="476">
        <f t="shared" si="32"/>
        <v>0.11481481481481483</v>
      </c>
      <c r="F232" s="476">
        <f t="shared" si="32"/>
        <v>0.11184210526315791</v>
      </c>
      <c r="G232" s="476">
        <f t="shared" si="32"/>
        <v>0.12643678160919539</v>
      </c>
    </row>
    <row r="233" spans="1:7">
      <c r="A233" s="391" t="s">
        <v>46</v>
      </c>
      <c r="B233" s="476" t="e">
        <f t="shared" ref="B233:G233" si="33">B227</f>
        <v>#DIV/0!</v>
      </c>
      <c r="C233" s="476" t="e">
        <f t="shared" si="33"/>
        <v>#DIV/0!</v>
      </c>
      <c r="D233" s="476" t="e">
        <f t="shared" si="33"/>
        <v>#DIV/0!</v>
      </c>
      <c r="E233" s="476">
        <f t="shared" si="33"/>
        <v>1.8267530936947555E-2</v>
      </c>
      <c r="F233" s="476">
        <f t="shared" si="33"/>
        <v>1.6890213611525089E-2</v>
      </c>
      <c r="G233" s="476">
        <f t="shared" si="33"/>
        <v>1.6332590942835932E-2</v>
      </c>
    </row>
    <row r="234" spans="1:7">
      <c r="A234" s="391" t="s">
        <v>47</v>
      </c>
      <c r="B234" s="478" t="e">
        <f t="shared" ref="B234:G234" si="34">B222</f>
        <v>#DIV/0!</v>
      </c>
      <c r="C234" s="478" t="e">
        <f t="shared" si="34"/>
        <v>#DIV/0!</v>
      </c>
      <c r="D234" s="478" t="e">
        <f t="shared" si="34"/>
        <v>#DIV/0!</v>
      </c>
      <c r="E234" s="478">
        <f t="shared" si="34"/>
        <v>2.8569023569023568</v>
      </c>
      <c r="F234" s="478">
        <f t="shared" si="34"/>
        <v>2.7350543478260869</v>
      </c>
      <c r="G234" s="478">
        <f t="shared" si="34"/>
        <v>2.887459807073955</v>
      </c>
    </row>
    <row r="235" spans="1:7">
      <c r="A235" s="391" t="s">
        <v>48</v>
      </c>
      <c r="B235" s="478" t="e">
        <f t="shared" ref="B235:G235" si="35">B175/(B200)</f>
        <v>#DIV/0!</v>
      </c>
      <c r="C235" s="478" t="e">
        <f t="shared" si="35"/>
        <v>#DIV/0!</v>
      </c>
      <c r="D235" s="478" t="e">
        <f t="shared" si="35"/>
        <v>#DIV/0!</v>
      </c>
      <c r="E235" s="478">
        <f t="shared" si="35"/>
        <v>2.2000000000000002</v>
      </c>
      <c r="F235" s="478">
        <f t="shared" si="35"/>
        <v>2.4210526315789473</v>
      </c>
      <c r="G235" s="478">
        <f t="shared" si="35"/>
        <v>2.6810344827586206</v>
      </c>
    </row>
    <row r="236" spans="1:7">
      <c r="A236" s="391" t="s">
        <v>49</v>
      </c>
      <c r="B236" s="476" t="e">
        <f t="shared" ref="B236:G236" si="36">B140/B200</f>
        <v>#DIV/0!</v>
      </c>
      <c r="C236" s="476" t="e">
        <f t="shared" si="36"/>
        <v>#DIV/0!</v>
      </c>
      <c r="D236" s="476" t="e">
        <f t="shared" si="36"/>
        <v>#DIV/0!</v>
      </c>
      <c r="E236" s="476">
        <f t="shared" si="36"/>
        <v>0.11481481481481481</v>
      </c>
      <c r="F236" s="476">
        <f t="shared" si="36"/>
        <v>0.1118421052631579</v>
      </c>
      <c r="G236" s="476">
        <f t="shared" si="36"/>
        <v>0.12643678160919541</v>
      </c>
    </row>
    <row r="238" spans="1:7">
      <c r="A238" s="409" t="s">
        <v>50</v>
      </c>
    </row>
    <row r="239" spans="1:7" ht="15">
      <c r="A239" s="332" t="s">
        <v>51</v>
      </c>
      <c r="B239" s="479" t="s">
        <v>52</v>
      </c>
      <c r="C239" s="480" t="e">
        <f>C121/B121-1</f>
        <v>#DIV/0!</v>
      </c>
      <c r="D239" s="480" t="e">
        <f>D121/C121-1</f>
        <v>#DIV/0!</v>
      </c>
      <c r="E239" s="480" t="e">
        <f>E121/D121-1</f>
        <v>#DIV/0!</v>
      </c>
      <c r="F239" s="480">
        <f>F121/E121-1</f>
        <v>0.18621096051856223</v>
      </c>
      <c r="G239" s="480">
        <f>G121/F121-1</f>
        <v>0.33830104321907606</v>
      </c>
    </row>
    <row r="240" spans="1:7" ht="15">
      <c r="A240" s="332" t="s">
        <v>141</v>
      </c>
      <c r="B240" s="479" t="str">
        <f>B239</f>
        <v>NA</v>
      </c>
      <c r="C240" s="480" t="e">
        <f>C123/B123-1</f>
        <v>#DIV/0!</v>
      </c>
      <c r="D240" s="480" t="e">
        <f>D123/C123-1</f>
        <v>#DIV/0!</v>
      </c>
      <c r="E240" s="480" t="e">
        <f>E123/D123-1</f>
        <v>#DIV/0!</v>
      </c>
      <c r="F240" s="480">
        <f>F123/E123-1</f>
        <v>0.2126315789473685</v>
      </c>
      <c r="G240" s="480">
        <f>G123/F123-1</f>
        <v>0.29166666666666674</v>
      </c>
    </row>
    <row r="241" spans="1:7" ht="15">
      <c r="A241" s="332" t="s">
        <v>282</v>
      </c>
      <c r="B241" s="479" t="str">
        <f>B240</f>
        <v>NA</v>
      </c>
      <c r="C241" s="480" t="e">
        <f>C131/B131-1</f>
        <v>#DIV/0!</v>
      </c>
      <c r="D241" s="480" t="e">
        <f>D131/C131-1</f>
        <v>#DIV/0!</v>
      </c>
      <c r="E241" s="480" t="e">
        <f>E131/D131-1</f>
        <v>#DIV/0!</v>
      </c>
      <c r="F241" s="480">
        <f>F131/E131-1</f>
        <v>0.21999999999999997</v>
      </c>
      <c r="G241" s="480">
        <f>G131/F131-1</f>
        <v>0.4098360655737705</v>
      </c>
    </row>
    <row r="242" spans="1:7" ht="15">
      <c r="A242" s="332" t="s">
        <v>236</v>
      </c>
      <c r="B242" s="479" t="str">
        <f>B241</f>
        <v>NA</v>
      </c>
      <c r="C242" s="480" t="e">
        <f>C175/B175-1</f>
        <v>#DIV/0!</v>
      </c>
      <c r="D242" s="480" t="e">
        <f>D175/C175-1</f>
        <v>#DIV/0!</v>
      </c>
      <c r="E242" s="480" t="e">
        <f>E175/D175-1</f>
        <v>#DIV/0!</v>
      </c>
      <c r="F242" s="480">
        <f>F175/E175-1</f>
        <v>0.23905723905723897</v>
      </c>
      <c r="G242" s="480">
        <f>G175/F175-1</f>
        <v>0.26766304347826098</v>
      </c>
    </row>
    <row r="245" spans="1:7">
      <c r="D245" s="481"/>
    </row>
    <row r="246" spans="1:7">
      <c r="D246" s="481"/>
    </row>
    <row r="247" spans="1:7">
      <c r="A247" s="481"/>
      <c r="B247" s="481"/>
      <c r="C247" s="481"/>
      <c r="D247" s="481"/>
    </row>
    <row r="248" spans="1:7">
      <c r="A248" s="481"/>
      <c r="B248" s="481"/>
      <c r="C248" s="481"/>
      <c r="D248" s="481"/>
    </row>
    <row r="249" spans="1:7">
      <c r="A249" s="481"/>
      <c r="B249" s="481"/>
      <c r="C249" s="481"/>
      <c r="D249" s="481"/>
    </row>
    <row r="250" spans="1:7">
      <c r="A250" s="481"/>
      <c r="B250" s="481"/>
      <c r="C250" s="481"/>
    </row>
  </sheetData>
  <phoneticPr fontId="9" type="noConversion"/>
  <printOptions headings="1" gridLines="1"/>
  <pageMargins left="0.75" right="0.75" top="1" bottom="1" header="0.5" footer="0.5"/>
  <pageSetup scale="15" orientation="landscape" horizontalDpi="4294967294" verticalDpi="4294967294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28"/>
  <sheetViews>
    <sheetView workbookViewId="0"/>
  </sheetViews>
  <sheetFormatPr defaultColWidth="8.85546875" defaultRowHeight="15"/>
  <cols>
    <col min="1" max="1" width="44.42578125" customWidth="1"/>
    <col min="2" max="2" width="19.140625" customWidth="1"/>
    <col min="3" max="3" width="12.7109375" customWidth="1"/>
    <col min="4" max="4" width="11.28515625" customWidth="1"/>
    <col min="5" max="5" width="11" customWidth="1"/>
    <col min="6" max="6" width="10.85546875" customWidth="1"/>
    <col min="7" max="7" width="12.7109375" customWidth="1"/>
  </cols>
  <sheetData>
    <row r="1" spans="1:10">
      <c r="A1" s="83" t="s">
        <v>767</v>
      </c>
      <c r="B1" s="82" t="s">
        <v>225</v>
      </c>
    </row>
    <row r="2" spans="1:10" ht="20.25">
      <c r="A2" s="81" t="s">
        <v>230</v>
      </c>
      <c r="B2" s="80">
        <v>2004</v>
      </c>
      <c r="C2" s="80">
        <v>2004</v>
      </c>
      <c r="D2" s="80">
        <v>2005</v>
      </c>
      <c r="E2" s="79">
        <v>2006</v>
      </c>
      <c r="F2" s="79">
        <v>2007</v>
      </c>
      <c r="G2" s="79">
        <v>2008</v>
      </c>
    </row>
    <row r="3" spans="1:10" ht="20.25">
      <c r="A3" s="78" t="s">
        <v>224</v>
      </c>
      <c r="B3" s="482">
        <v>2694</v>
      </c>
      <c r="C3" s="77" t="s">
        <v>311</v>
      </c>
      <c r="D3" s="77"/>
      <c r="E3" s="76"/>
      <c r="F3" s="76"/>
      <c r="G3" s="76"/>
    </row>
    <row r="4" spans="1:10" ht="20.25">
      <c r="A4" s="78" t="s">
        <v>223</v>
      </c>
      <c r="B4" s="482"/>
      <c r="C4" s="483">
        <v>0.3362</v>
      </c>
      <c r="D4" s="484">
        <v>0.2</v>
      </c>
      <c r="E4" s="485">
        <v>0.2</v>
      </c>
      <c r="F4" s="485">
        <v>0.2</v>
      </c>
      <c r="G4" s="485">
        <v>0.2</v>
      </c>
    </row>
    <row r="5" spans="1:10" ht="20.25">
      <c r="A5" s="78" t="s">
        <v>222</v>
      </c>
      <c r="B5" s="482"/>
      <c r="C5" s="483">
        <f>1950/2694</f>
        <v>0.72383073496659245</v>
      </c>
      <c r="D5" s="483">
        <f>1950/2694</f>
        <v>0.72383073496659245</v>
      </c>
      <c r="E5" s="483">
        <f>1950/2694</f>
        <v>0.72383073496659245</v>
      </c>
      <c r="F5" s="483">
        <f>1950/2694</f>
        <v>0.72383073496659245</v>
      </c>
      <c r="G5" s="483">
        <f>1950/2694</f>
        <v>0.72383073496659245</v>
      </c>
    </row>
    <row r="6" spans="1:10" ht="20.25">
      <c r="A6" s="78" t="s">
        <v>221</v>
      </c>
      <c r="B6" s="482"/>
      <c r="C6" s="486">
        <f>658/2694</f>
        <v>0.24424647364513735</v>
      </c>
      <c r="D6" s="486">
        <f>658/2694</f>
        <v>0.24424647364513735</v>
      </c>
      <c r="E6" s="486">
        <f>658/2694</f>
        <v>0.24424647364513735</v>
      </c>
      <c r="F6" s="486">
        <f>658/2694</f>
        <v>0.24424647364513735</v>
      </c>
      <c r="G6" s="486">
        <f>658/2694</f>
        <v>0.24424647364513735</v>
      </c>
    </row>
    <row r="7" spans="1:10" ht="20.25">
      <c r="A7" s="78" t="s">
        <v>228</v>
      </c>
      <c r="B7" s="482" t="s">
        <v>311</v>
      </c>
      <c r="C7" s="487">
        <v>50</v>
      </c>
      <c r="D7" s="487">
        <v>43</v>
      </c>
      <c r="E7" s="487">
        <v>37</v>
      </c>
      <c r="F7" s="487">
        <v>30</v>
      </c>
      <c r="G7" s="487">
        <v>23</v>
      </c>
    </row>
    <row r="8" spans="1:10" ht="20.25">
      <c r="A8" s="78" t="s">
        <v>220</v>
      </c>
      <c r="B8" s="482" t="s">
        <v>311</v>
      </c>
      <c r="C8" s="487">
        <v>7</v>
      </c>
      <c r="D8" s="487">
        <v>7</v>
      </c>
      <c r="E8" s="487">
        <v>7</v>
      </c>
      <c r="F8" s="487">
        <v>7</v>
      </c>
      <c r="G8" s="487">
        <v>7</v>
      </c>
    </row>
    <row r="9" spans="1:10" ht="20.25">
      <c r="A9" s="78" t="s">
        <v>219</v>
      </c>
      <c r="B9" s="482" t="s">
        <v>311</v>
      </c>
      <c r="C9" s="488">
        <v>0.08</v>
      </c>
      <c r="D9" s="488">
        <v>0.08</v>
      </c>
      <c r="E9" s="488">
        <v>0.08</v>
      </c>
      <c r="F9" s="488">
        <v>0.08</v>
      </c>
      <c r="G9" s="488">
        <v>0.08</v>
      </c>
    </row>
    <row r="10" spans="1:10" ht="20.25">
      <c r="A10" s="78" t="s">
        <v>156</v>
      </c>
      <c r="B10" s="482"/>
      <c r="C10" s="488">
        <v>0.35</v>
      </c>
      <c r="D10" s="488">
        <v>0.35</v>
      </c>
      <c r="E10" s="488">
        <v>0.35</v>
      </c>
      <c r="F10" s="488">
        <v>0.35</v>
      </c>
      <c r="G10" s="488">
        <v>0.35</v>
      </c>
    </row>
    <row r="11" spans="1:10" ht="20.25">
      <c r="A11" s="78" t="s">
        <v>155</v>
      </c>
      <c r="B11" s="482"/>
      <c r="C11" s="488">
        <v>0</v>
      </c>
      <c r="D11" s="488">
        <v>0</v>
      </c>
      <c r="E11" s="488">
        <v>0</v>
      </c>
      <c r="F11" s="488">
        <v>0</v>
      </c>
      <c r="G11" s="488">
        <v>0</v>
      </c>
    </row>
    <row r="12" spans="1:10" ht="20.25">
      <c r="A12" s="78" t="s">
        <v>154</v>
      </c>
      <c r="B12" s="482"/>
      <c r="C12" s="488">
        <f>776/2694</f>
        <v>0.28804751299183373</v>
      </c>
      <c r="D12" s="488">
        <f>776/2694</f>
        <v>0.28804751299183373</v>
      </c>
      <c r="E12" s="488">
        <f>776/2694</f>
        <v>0.28804751299183373</v>
      </c>
      <c r="F12" s="488">
        <f>776/2694</f>
        <v>0.28804751299183373</v>
      </c>
      <c r="G12" s="488">
        <f>776/2694</f>
        <v>0.28804751299183373</v>
      </c>
    </row>
    <row r="13" spans="1:10" ht="20.25">
      <c r="A13" s="78" t="s">
        <v>238</v>
      </c>
      <c r="B13" s="482"/>
      <c r="C13" s="487">
        <v>157</v>
      </c>
      <c r="D13" s="487">
        <v>160</v>
      </c>
      <c r="E13" s="487">
        <v>163</v>
      </c>
      <c r="F13" s="487">
        <v>166</v>
      </c>
      <c r="G13" s="487">
        <v>168</v>
      </c>
      <c r="J13" t="s">
        <v>311</v>
      </c>
    </row>
    <row r="14" spans="1:10" ht="20.25">
      <c r="A14" s="78" t="s">
        <v>153</v>
      </c>
      <c r="B14" s="482"/>
      <c r="C14" s="488">
        <f>302/2694</f>
        <v>0.11210096510764662</v>
      </c>
      <c r="D14" s="488">
        <f>302/2694</f>
        <v>0.11210096510764662</v>
      </c>
      <c r="E14" s="488">
        <f>302/2694</f>
        <v>0.11210096510764662</v>
      </c>
      <c r="F14" s="488">
        <f>302/2694</f>
        <v>0.11210096510764662</v>
      </c>
      <c r="G14" s="488">
        <f>302/2694</f>
        <v>0.11210096510764662</v>
      </c>
    </row>
    <row r="15" spans="1:10" ht="20.25">
      <c r="A15" s="78" t="s">
        <v>152</v>
      </c>
      <c r="B15" s="482">
        <v>348</v>
      </c>
      <c r="C15" s="77"/>
      <c r="D15" s="77"/>
      <c r="E15" s="76"/>
      <c r="F15" s="76"/>
      <c r="G15" s="76"/>
    </row>
    <row r="16" spans="1:10" ht="20.25">
      <c r="A16" s="78"/>
      <c r="B16" s="482"/>
      <c r="C16" s="77"/>
      <c r="D16" s="77"/>
      <c r="E16" s="76"/>
      <c r="F16" s="76"/>
      <c r="G16" s="76"/>
    </row>
    <row r="17" spans="1:10" ht="20.25">
      <c r="A17" s="70" t="s">
        <v>204</v>
      </c>
      <c r="B17" s="65"/>
      <c r="C17" s="65"/>
      <c r="D17" s="65"/>
      <c r="E17" s="65"/>
      <c r="F17" s="65"/>
      <c r="G17" s="65"/>
    </row>
    <row r="18" spans="1:10" ht="20.25">
      <c r="A18" s="65"/>
      <c r="B18" s="75" t="s">
        <v>151</v>
      </c>
      <c r="C18" s="75" t="s">
        <v>150</v>
      </c>
      <c r="D18" s="74" t="s">
        <v>311</v>
      </c>
      <c r="E18" s="65"/>
      <c r="F18" s="65"/>
      <c r="G18" s="65"/>
    </row>
    <row r="19" spans="1:10" ht="20.25">
      <c r="A19" s="73" t="s">
        <v>230</v>
      </c>
      <c r="B19" s="72">
        <f>C2</f>
        <v>2004</v>
      </c>
      <c r="C19" s="72">
        <v>2004</v>
      </c>
      <c r="D19" s="72">
        <f>D2</f>
        <v>2005</v>
      </c>
      <c r="E19" s="72">
        <f>E2</f>
        <v>2006</v>
      </c>
      <c r="F19" s="72">
        <f>F2</f>
        <v>2007</v>
      </c>
      <c r="G19" s="72">
        <f>G2</f>
        <v>2008</v>
      </c>
    </row>
    <row r="20" spans="1:10" ht="20.25">
      <c r="A20" s="64" t="s">
        <v>149</v>
      </c>
      <c r="B20" s="63" t="s">
        <v>387</v>
      </c>
      <c r="C20" s="489">
        <f>B3*(1+C4)</f>
        <v>3599.7228</v>
      </c>
      <c r="D20" s="489">
        <f>C20*(1+D4)</f>
        <v>4319.6673599999995</v>
      </c>
      <c r="E20" s="489">
        <f>D20*(1+E4)</f>
        <v>5183.6008319999992</v>
      </c>
      <c r="F20" s="489">
        <f>E20*(1+F4)</f>
        <v>6220.3209983999986</v>
      </c>
      <c r="G20" s="489">
        <f>F20*(1+G4)</f>
        <v>7464.3851980799982</v>
      </c>
    </row>
    <row r="21" spans="1:10" ht="20.25">
      <c r="A21" s="64" t="s">
        <v>148</v>
      </c>
      <c r="B21" s="68" t="s">
        <v>388</v>
      </c>
      <c r="C21" s="67">
        <f>C5*C20</f>
        <v>2605.59</v>
      </c>
      <c r="D21" s="67">
        <f>D5*D20</f>
        <v>3126.7079999999996</v>
      </c>
      <c r="E21" s="67">
        <f>E5*E20</f>
        <v>3752.0495999999994</v>
      </c>
      <c r="F21" s="67">
        <f>F5*F20</f>
        <v>4502.4595199999994</v>
      </c>
      <c r="G21" s="67">
        <f>G5*G20</f>
        <v>5402.951423999999</v>
      </c>
    </row>
    <row r="22" spans="1:10" ht="20.25">
      <c r="A22" s="64" t="s">
        <v>141</v>
      </c>
      <c r="B22" s="63" t="s">
        <v>389</v>
      </c>
      <c r="C22" s="66">
        <f>C20-C21</f>
        <v>994.13279999999986</v>
      </c>
      <c r="D22" s="66">
        <f>D20-D21</f>
        <v>1192.9593599999998</v>
      </c>
      <c r="E22" s="66">
        <f>E20-E21</f>
        <v>1431.5512319999998</v>
      </c>
      <c r="F22" s="66">
        <f>F20-F21</f>
        <v>1717.8614783999992</v>
      </c>
      <c r="G22" s="66">
        <f>G20-G21</f>
        <v>2061.4337740799992</v>
      </c>
    </row>
    <row r="23" spans="1:10" ht="20.25">
      <c r="A23" s="64" t="s">
        <v>247</v>
      </c>
      <c r="B23" s="63" t="s">
        <v>390</v>
      </c>
      <c r="C23" s="66">
        <f>C6*C20</f>
        <v>879.21960000000001</v>
      </c>
      <c r="D23" s="66">
        <f>D6*D20</f>
        <v>1055.0635199999999</v>
      </c>
      <c r="E23" s="66">
        <f>E6*E20</f>
        <v>1266.0762239999999</v>
      </c>
      <c r="F23" s="66">
        <f>F6*F20</f>
        <v>1519.2914687999996</v>
      </c>
      <c r="G23" s="66">
        <f>G6*G20</f>
        <v>1823.1497625599995</v>
      </c>
    </row>
    <row r="24" spans="1:10" ht="20.25">
      <c r="A24" s="64" t="s">
        <v>266</v>
      </c>
      <c r="B24" s="68" t="s">
        <v>391</v>
      </c>
      <c r="C24" s="67">
        <f>C22-C23</f>
        <v>114.91319999999985</v>
      </c>
      <c r="D24" s="67">
        <f>D22-D23</f>
        <v>137.89583999999991</v>
      </c>
      <c r="E24" s="67">
        <f>E22-E23</f>
        <v>165.47500799999989</v>
      </c>
      <c r="F24" s="67">
        <f>F22-F23</f>
        <v>198.57000959999959</v>
      </c>
      <c r="G24" s="67">
        <f>G22-G23</f>
        <v>238.28401151999969</v>
      </c>
    </row>
    <row r="25" spans="1:10" ht="20.25">
      <c r="A25" s="64" t="s">
        <v>279</v>
      </c>
      <c r="B25" s="68" t="s">
        <v>338</v>
      </c>
      <c r="C25" s="71">
        <f>(C7+C8)*C9</f>
        <v>4.5600000000000005</v>
      </c>
      <c r="D25" s="71">
        <f>(D7+D8)*D9</f>
        <v>4</v>
      </c>
      <c r="E25" s="71">
        <f>(E7+E8)*E9</f>
        <v>3.52</v>
      </c>
      <c r="F25" s="71">
        <f>(F7+F8)*F9</f>
        <v>2.96</v>
      </c>
      <c r="G25" s="71">
        <f>(G7+G8)*G9</f>
        <v>2.4</v>
      </c>
    </row>
    <row r="26" spans="1:10" ht="20.25">
      <c r="A26" s="64" t="s">
        <v>246</v>
      </c>
      <c r="B26" s="63" t="s">
        <v>243</v>
      </c>
      <c r="C26" s="66">
        <f>C22-C23-C25</f>
        <v>110.35319999999984</v>
      </c>
      <c r="D26" s="66">
        <f>D22-D23-D25</f>
        <v>133.89583999999991</v>
      </c>
      <c r="E26" s="66">
        <f>E22-E23-E25</f>
        <v>161.95500799999988</v>
      </c>
      <c r="F26" s="66">
        <f>F22-F23-F25</f>
        <v>195.61000959999959</v>
      </c>
      <c r="G26" s="66">
        <f>G22-G23-G25</f>
        <v>235.88401151999969</v>
      </c>
    </row>
    <row r="27" spans="1:10" ht="20.25">
      <c r="A27" s="64" t="s">
        <v>245</v>
      </c>
      <c r="B27" s="68" t="s">
        <v>392</v>
      </c>
      <c r="C27" s="67">
        <f>C10*C26</f>
        <v>38.623619999999946</v>
      </c>
      <c r="D27" s="67">
        <f>D10*D26</f>
        <v>46.863543999999962</v>
      </c>
      <c r="E27" s="67">
        <f>E10*E26</f>
        <v>56.684252799999953</v>
      </c>
      <c r="F27" s="67">
        <f>F10*F26</f>
        <v>68.463503359999848</v>
      </c>
      <c r="G27" s="67">
        <f>G10*G26</f>
        <v>82.55940403199989</v>
      </c>
    </row>
    <row r="28" spans="1:10" ht="20.25">
      <c r="A28" s="64" t="s">
        <v>244</v>
      </c>
      <c r="B28" s="63" t="s">
        <v>240</v>
      </c>
      <c r="C28" s="66">
        <f>C26-C27</f>
        <v>71.729579999999899</v>
      </c>
      <c r="D28" s="66">
        <f>D26-D27</f>
        <v>87.032295999999945</v>
      </c>
      <c r="E28" s="66">
        <f>E26-E27</f>
        <v>105.27075519999993</v>
      </c>
      <c r="F28" s="66">
        <f>F26-F27</f>
        <v>127.14650623999974</v>
      </c>
      <c r="G28" s="66">
        <f>G26-G27</f>
        <v>153.3246074879998</v>
      </c>
      <c r="J28" t="s">
        <v>311</v>
      </c>
    </row>
    <row r="29" spans="1:10" ht="20.25">
      <c r="A29" s="64" t="s">
        <v>242</v>
      </c>
      <c r="B29" s="68" t="s">
        <v>393</v>
      </c>
      <c r="C29" s="67">
        <f>C11*C28</f>
        <v>0</v>
      </c>
      <c r="D29" s="67">
        <f>D11*D28</f>
        <v>0</v>
      </c>
      <c r="E29" s="67">
        <f>E11*E28</f>
        <v>0</v>
      </c>
      <c r="F29" s="67">
        <f>F11*F28</f>
        <v>0</v>
      </c>
      <c r="G29" s="67">
        <f>G11*G28</f>
        <v>0</v>
      </c>
    </row>
    <row r="30" spans="1:10" ht="20.25">
      <c r="A30" s="64" t="s">
        <v>241</v>
      </c>
      <c r="B30" s="63" t="s">
        <v>394</v>
      </c>
      <c r="C30" s="66">
        <f>C28-C29</f>
        <v>71.729579999999899</v>
      </c>
      <c r="D30" s="66">
        <f>D28-D29</f>
        <v>87.032295999999945</v>
      </c>
      <c r="E30" s="66">
        <f>E28-E29</f>
        <v>105.27075519999993</v>
      </c>
      <c r="F30" s="66">
        <f>F28-F29</f>
        <v>127.14650623999974</v>
      </c>
      <c r="G30" s="66">
        <f>G28-G29</f>
        <v>153.3246074879998</v>
      </c>
    </row>
    <row r="31" spans="1:10" ht="20.25">
      <c r="A31" s="65"/>
      <c r="B31" s="65"/>
      <c r="C31" s="69"/>
      <c r="D31" s="69"/>
      <c r="E31" s="69"/>
      <c r="F31" s="69"/>
      <c r="G31" s="69"/>
    </row>
    <row r="32" spans="1:10" ht="20.25">
      <c r="A32" s="70" t="s">
        <v>239</v>
      </c>
      <c r="B32" s="65"/>
      <c r="C32" s="69"/>
      <c r="D32" s="69"/>
      <c r="E32" s="69"/>
      <c r="F32" s="69"/>
      <c r="G32" s="69"/>
    </row>
    <row r="33" spans="1:13" ht="20.25">
      <c r="A33" s="64" t="s">
        <v>144</v>
      </c>
      <c r="B33" s="63" t="s">
        <v>395</v>
      </c>
      <c r="C33" s="66">
        <f>C12*C20</f>
        <v>1036.8912</v>
      </c>
      <c r="D33" s="66">
        <f>D12*D20</f>
        <v>1244.26944</v>
      </c>
      <c r="E33" s="66">
        <f>E12*E20</f>
        <v>1493.1233279999999</v>
      </c>
      <c r="F33" s="66">
        <f>F12*F20</f>
        <v>1791.7479935999997</v>
      </c>
      <c r="G33" s="66">
        <f>G12*G20</f>
        <v>2150.0975923199999</v>
      </c>
    </row>
    <row r="34" spans="1:13" ht="20.25">
      <c r="A34" s="64" t="s">
        <v>238</v>
      </c>
      <c r="B34" s="68" t="s">
        <v>237</v>
      </c>
      <c r="C34" s="67">
        <f>C13</f>
        <v>157</v>
      </c>
      <c r="D34" s="67">
        <f>D13</f>
        <v>160</v>
      </c>
      <c r="E34" s="67">
        <f>E13</f>
        <v>163</v>
      </c>
      <c r="F34" s="67">
        <f>F13</f>
        <v>166</v>
      </c>
      <c r="G34" s="67">
        <f>G13</f>
        <v>168</v>
      </c>
    </row>
    <row r="35" spans="1:13" ht="20.25">
      <c r="A35" s="64" t="s">
        <v>236</v>
      </c>
      <c r="B35" s="63" t="s">
        <v>396</v>
      </c>
      <c r="C35" s="66">
        <f>C33+C34</f>
        <v>1193.8912</v>
      </c>
      <c r="D35" s="66">
        <f>D33+D34</f>
        <v>1404.26944</v>
      </c>
      <c r="E35" s="66">
        <f>E33+E34</f>
        <v>1656.1233279999999</v>
      </c>
      <c r="F35" s="66">
        <f>F33+F34</f>
        <v>1957.7479935999997</v>
      </c>
      <c r="G35" s="66">
        <f>G33+G34</f>
        <v>2318.0975923199999</v>
      </c>
    </row>
    <row r="36" spans="1:13" ht="20.25">
      <c r="A36" s="64"/>
      <c r="B36" s="65"/>
      <c r="C36" s="69"/>
      <c r="D36" s="69"/>
      <c r="E36" s="69"/>
      <c r="F36" s="69"/>
      <c r="G36" s="69"/>
    </row>
    <row r="37" spans="1:13" ht="20.25">
      <c r="A37" s="64" t="s">
        <v>143</v>
      </c>
      <c r="B37" s="63" t="s">
        <v>397</v>
      </c>
      <c r="C37" s="66">
        <f>C14*C20</f>
        <v>403.5324</v>
      </c>
      <c r="D37" s="66">
        <f>D14*D20</f>
        <v>484.23887999999994</v>
      </c>
      <c r="E37" s="66">
        <f>E14*E20</f>
        <v>581.08665599999995</v>
      </c>
      <c r="F37" s="66">
        <f>F14*F20</f>
        <v>697.30398719999982</v>
      </c>
      <c r="G37" s="66">
        <f>G14*G20</f>
        <v>836.76478463999979</v>
      </c>
    </row>
    <row r="38" spans="1:13" ht="20.25">
      <c r="A38" s="64" t="s">
        <v>228</v>
      </c>
      <c r="B38" s="63" t="s">
        <v>235</v>
      </c>
      <c r="C38" s="66">
        <f>C7</f>
        <v>50</v>
      </c>
      <c r="D38" s="66">
        <v>43</v>
      </c>
      <c r="E38" s="66">
        <v>37</v>
      </c>
      <c r="F38" s="66">
        <v>30</v>
      </c>
      <c r="G38" s="66">
        <v>22</v>
      </c>
    </row>
    <row r="39" spans="1:13" ht="20.25">
      <c r="A39" s="64" t="s">
        <v>234</v>
      </c>
      <c r="B39" s="68" t="s">
        <v>398</v>
      </c>
      <c r="C39" s="67">
        <f>B15+C30</f>
        <v>419.72957999999988</v>
      </c>
      <c r="D39" s="67">
        <f>C39+D30</f>
        <v>506.7618759999998</v>
      </c>
      <c r="E39" s="67">
        <f>D39+E30</f>
        <v>612.03263119999974</v>
      </c>
      <c r="F39" s="67">
        <f>E39+F30</f>
        <v>739.17913743999952</v>
      </c>
      <c r="G39" s="67">
        <f>F39+G30</f>
        <v>892.50374492799938</v>
      </c>
    </row>
    <row r="40" spans="1:13" ht="20.25">
      <c r="A40" s="64" t="s">
        <v>233</v>
      </c>
      <c r="B40" s="63" t="s">
        <v>399</v>
      </c>
      <c r="C40" s="66">
        <f>C37+C38+C39</f>
        <v>873.26197999999988</v>
      </c>
      <c r="D40" s="66">
        <f>D37+D38+D39</f>
        <v>1034.0007559999997</v>
      </c>
      <c r="E40" s="66">
        <f>E37+E38+E39</f>
        <v>1230.1192871999997</v>
      </c>
      <c r="F40" s="66">
        <f>F37+F38+F39</f>
        <v>1466.4831246399995</v>
      </c>
      <c r="G40" s="66">
        <f>G37+G38+G39</f>
        <v>1751.2685295679992</v>
      </c>
    </row>
    <row r="41" spans="1:13" ht="20.25">
      <c r="A41" s="64" t="s">
        <v>232</v>
      </c>
      <c r="B41" s="65"/>
      <c r="C41" s="65"/>
      <c r="D41" s="65"/>
      <c r="E41" s="65"/>
      <c r="F41" s="65"/>
      <c r="G41" s="65"/>
    </row>
    <row r="42" spans="1:13" ht="20.25">
      <c r="A42" s="64" t="s">
        <v>231</v>
      </c>
      <c r="B42" s="63" t="s">
        <v>400</v>
      </c>
      <c r="C42" s="490">
        <f>C35-C40</f>
        <v>320.62922000000015</v>
      </c>
      <c r="D42" s="490">
        <f>D35-D40</f>
        <v>370.26868400000035</v>
      </c>
      <c r="E42" s="490">
        <f>E35-E40</f>
        <v>426.00404080000021</v>
      </c>
      <c r="F42" s="490">
        <f>F35-F40</f>
        <v>491.26486896000029</v>
      </c>
      <c r="G42" s="490">
        <f>G35-G40</f>
        <v>566.82906275200071</v>
      </c>
    </row>
    <row r="43" spans="1:13">
      <c r="A43" s="223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</row>
    <row r="44" spans="1:13">
      <c r="A44" s="223"/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</row>
    <row r="45" spans="1:13">
      <c r="A45" s="224" t="s">
        <v>355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</row>
    <row r="46" spans="1:13">
      <c r="A46" s="224" t="s">
        <v>354</v>
      </c>
      <c r="B46" s="223"/>
      <c r="C46" s="223"/>
      <c r="D46" s="223"/>
      <c r="E46" s="223"/>
      <c r="F46" s="223"/>
      <c r="G46" s="223"/>
      <c r="H46" s="245" t="s">
        <v>460</v>
      </c>
      <c r="I46" s="246" t="s">
        <v>461</v>
      </c>
      <c r="J46" s="246"/>
      <c r="K46" s="246"/>
      <c r="L46" s="246"/>
      <c r="M46" s="247"/>
    </row>
    <row r="47" spans="1:13">
      <c r="A47" s="224" t="s">
        <v>386</v>
      </c>
      <c r="B47" s="223"/>
      <c r="C47" s="223"/>
      <c r="D47" s="223"/>
      <c r="E47" s="223"/>
      <c r="F47" s="223"/>
      <c r="G47" s="223"/>
      <c r="H47" s="248"/>
      <c r="I47" s="249" t="s">
        <v>482</v>
      </c>
      <c r="J47" s="249"/>
      <c r="K47" s="249"/>
      <c r="L47" s="249"/>
      <c r="M47" s="250"/>
    </row>
    <row r="48" spans="1:13">
      <c r="A48" s="224" t="s">
        <v>401</v>
      </c>
      <c r="B48" s="223"/>
      <c r="C48" s="223"/>
      <c r="D48" s="223"/>
      <c r="E48" s="223"/>
      <c r="F48" s="223"/>
      <c r="G48" s="223"/>
      <c r="H48" s="251"/>
      <c r="I48" s="252" t="s">
        <v>462</v>
      </c>
      <c r="J48" s="252"/>
      <c r="K48" s="252"/>
      <c r="L48" s="252"/>
      <c r="M48" s="253"/>
    </row>
    <row r="49" spans="1:13">
      <c r="A49" s="225" t="s">
        <v>402</v>
      </c>
      <c r="B49" s="226"/>
      <c r="C49" s="226"/>
      <c r="D49" s="226"/>
      <c r="E49" s="226"/>
      <c r="F49" s="226"/>
      <c r="G49" s="227"/>
      <c r="H49" s="225"/>
      <c r="I49" s="226"/>
      <c r="J49" s="226"/>
      <c r="K49" s="226"/>
      <c r="L49" s="226"/>
      <c r="M49" s="247"/>
    </row>
    <row r="50" spans="1:13">
      <c r="A50" s="228" t="s">
        <v>403</v>
      </c>
      <c r="B50" s="229"/>
      <c r="C50" s="229"/>
      <c r="D50" s="229"/>
      <c r="E50" s="229"/>
      <c r="F50" s="229"/>
      <c r="G50" s="230"/>
      <c r="H50" s="270" t="s">
        <v>463</v>
      </c>
      <c r="I50" s="271" t="s">
        <v>464</v>
      </c>
      <c r="J50" s="229"/>
      <c r="K50" s="229"/>
      <c r="L50" s="229"/>
      <c r="M50" s="250"/>
    </row>
    <row r="51" spans="1:13">
      <c r="A51" s="228" t="s">
        <v>404</v>
      </c>
      <c r="B51" s="229"/>
      <c r="C51" s="229"/>
      <c r="D51" s="229"/>
      <c r="E51" s="229"/>
      <c r="F51" s="229"/>
      <c r="G51" s="230"/>
      <c r="H51" s="228">
        <v>10</v>
      </c>
      <c r="I51" s="229" t="s">
        <v>465</v>
      </c>
      <c r="J51" s="229"/>
      <c r="K51" s="229"/>
      <c r="L51" s="229"/>
      <c r="M51" s="250"/>
    </row>
    <row r="52" spans="1:13">
      <c r="A52" s="228" t="s">
        <v>405</v>
      </c>
      <c r="B52" s="229"/>
      <c r="C52" s="229"/>
      <c r="D52" s="229"/>
      <c r="E52" s="229"/>
      <c r="F52" s="229"/>
      <c r="G52" s="230"/>
      <c r="H52" s="254">
        <v>5</v>
      </c>
      <c r="I52" s="229" t="s">
        <v>466</v>
      </c>
      <c r="J52" s="229"/>
      <c r="K52" s="229"/>
      <c r="L52" s="229"/>
      <c r="M52" s="250"/>
    </row>
    <row r="53" spans="1:13">
      <c r="A53" s="228"/>
      <c r="B53" s="229"/>
      <c r="C53" s="229"/>
      <c r="D53" s="229"/>
      <c r="E53" s="229"/>
      <c r="F53" s="229"/>
      <c r="G53" s="230"/>
      <c r="H53" s="231">
        <v>15</v>
      </c>
      <c r="I53" s="232"/>
      <c r="J53" s="232"/>
      <c r="K53" s="232"/>
      <c r="L53" s="232"/>
      <c r="M53" s="253"/>
    </row>
    <row r="54" spans="1:13">
      <c r="A54" s="228" t="s">
        <v>406</v>
      </c>
      <c r="B54" s="229"/>
      <c r="C54" s="229"/>
      <c r="D54" s="229"/>
      <c r="E54" s="229"/>
      <c r="F54" s="229"/>
      <c r="G54" s="230"/>
      <c r="H54" s="223"/>
      <c r="I54" s="223"/>
      <c r="J54" s="223"/>
      <c r="K54" s="223"/>
      <c r="L54" s="223"/>
    </row>
    <row r="55" spans="1:13">
      <c r="A55" s="228" t="s">
        <v>407</v>
      </c>
      <c r="B55" s="229"/>
      <c r="C55" s="229"/>
      <c r="D55" s="229"/>
      <c r="E55" s="229"/>
      <c r="F55" s="229"/>
      <c r="G55" s="230"/>
      <c r="H55" s="223"/>
      <c r="I55" s="223"/>
      <c r="J55" s="223"/>
      <c r="K55" s="223"/>
      <c r="L55" s="223"/>
    </row>
    <row r="56" spans="1:13">
      <c r="A56" s="228" t="s">
        <v>408</v>
      </c>
      <c r="B56" s="229"/>
      <c r="C56" s="229"/>
      <c r="D56" s="229"/>
      <c r="E56" s="229"/>
      <c r="F56" s="229"/>
      <c r="G56" s="230"/>
      <c r="H56" s="223"/>
      <c r="I56" s="223"/>
      <c r="J56" s="223"/>
      <c r="K56" s="223"/>
      <c r="L56" s="223"/>
    </row>
    <row r="57" spans="1:13">
      <c r="A57" s="228" t="s">
        <v>409</v>
      </c>
      <c r="B57" s="229"/>
      <c r="C57" s="229"/>
      <c r="D57" s="229"/>
      <c r="E57" s="229"/>
      <c r="F57" s="229"/>
      <c r="G57" s="230"/>
      <c r="H57" s="223"/>
      <c r="I57" s="234" t="s">
        <v>479</v>
      </c>
      <c r="J57" s="223"/>
      <c r="K57" s="223"/>
      <c r="L57" s="223"/>
    </row>
    <row r="58" spans="1:13">
      <c r="A58" s="228" t="s">
        <v>410</v>
      </c>
      <c r="B58" s="229"/>
      <c r="C58" s="229"/>
      <c r="D58" s="229"/>
      <c r="E58" s="229"/>
      <c r="F58" s="229"/>
      <c r="G58" s="230"/>
      <c r="H58" s="223"/>
      <c r="I58" s="234" t="s">
        <v>480</v>
      </c>
      <c r="J58" s="223"/>
      <c r="K58" s="223"/>
      <c r="L58" s="223"/>
    </row>
    <row r="59" spans="1:13">
      <c r="A59" s="228"/>
      <c r="B59" s="229"/>
      <c r="C59" s="229"/>
      <c r="D59" s="229"/>
      <c r="E59" s="229"/>
      <c r="F59" s="229"/>
      <c r="G59" s="230"/>
      <c r="H59" s="223"/>
      <c r="I59" s="234" t="s">
        <v>481</v>
      </c>
      <c r="J59" s="223"/>
      <c r="K59" s="223"/>
      <c r="L59" s="223"/>
    </row>
    <row r="60" spans="1:13">
      <c r="A60" s="228" t="s">
        <v>477</v>
      </c>
      <c r="B60" s="229"/>
      <c r="C60" s="229"/>
      <c r="D60" s="229"/>
      <c r="E60" s="229"/>
      <c r="F60" s="229"/>
      <c r="G60" s="230"/>
      <c r="H60" s="223"/>
      <c r="I60" s="259" t="s">
        <v>567</v>
      </c>
      <c r="J60" s="223"/>
      <c r="K60" s="223"/>
      <c r="L60" s="223"/>
    </row>
    <row r="61" spans="1:13">
      <c r="A61" s="228" t="s">
        <v>12</v>
      </c>
      <c r="B61" s="229"/>
      <c r="C61" s="229"/>
      <c r="D61" s="229"/>
      <c r="E61" s="229"/>
      <c r="F61" s="229"/>
      <c r="G61" s="230"/>
      <c r="H61" s="223"/>
      <c r="I61" s="223"/>
      <c r="J61" s="223"/>
      <c r="K61" s="223"/>
      <c r="L61" s="223"/>
    </row>
    <row r="62" spans="1:13">
      <c r="A62" s="228" t="s">
        <v>13</v>
      </c>
      <c r="B62" s="229"/>
      <c r="C62" s="229"/>
      <c r="D62" s="229"/>
      <c r="E62" s="229"/>
      <c r="F62" s="229"/>
      <c r="G62" s="230"/>
      <c r="H62" s="223"/>
      <c r="I62" s="223"/>
      <c r="J62" s="223"/>
      <c r="K62" s="223"/>
      <c r="L62" s="223"/>
    </row>
    <row r="63" spans="1:13">
      <c r="A63" s="231"/>
      <c r="B63" s="232"/>
      <c r="C63" s="232"/>
      <c r="D63" s="232"/>
      <c r="E63" s="232"/>
      <c r="F63" s="232"/>
      <c r="G63" s="233"/>
      <c r="H63" s="223"/>
      <c r="I63" s="223"/>
      <c r="J63" s="223"/>
      <c r="K63" s="223"/>
      <c r="L63" s="223"/>
    </row>
    <row r="64" spans="1:13">
      <c r="A64" s="223"/>
      <c r="B64" s="223"/>
      <c r="C64" s="223"/>
      <c r="D64" s="223"/>
      <c r="E64" s="223"/>
      <c r="F64" s="223"/>
      <c r="G64" s="223"/>
      <c r="H64" s="223"/>
      <c r="I64" s="223"/>
      <c r="J64" s="223"/>
      <c r="K64" s="223"/>
      <c r="L64" s="223"/>
    </row>
    <row r="65" spans="1:13">
      <c r="A65" s="224" t="s">
        <v>356</v>
      </c>
      <c r="B65" s="223"/>
      <c r="C65" s="223"/>
      <c r="D65" s="223"/>
      <c r="E65" s="223"/>
      <c r="F65" s="223"/>
      <c r="G65" s="223"/>
      <c r="H65" s="223"/>
      <c r="I65" s="223"/>
      <c r="J65" s="223"/>
      <c r="K65" s="223"/>
      <c r="L65" s="223"/>
    </row>
    <row r="66" spans="1:13">
      <c r="A66" s="224" t="s">
        <v>359</v>
      </c>
      <c r="B66" s="223"/>
      <c r="C66" s="223"/>
      <c r="D66" s="223"/>
      <c r="E66" s="223"/>
      <c r="F66" s="223"/>
      <c r="G66" s="223"/>
      <c r="H66" s="223"/>
      <c r="I66" s="223"/>
      <c r="J66" s="223"/>
      <c r="K66" s="223"/>
      <c r="L66" s="223"/>
    </row>
    <row r="67" spans="1:13">
      <c r="A67" s="225" t="s">
        <v>417</v>
      </c>
      <c r="B67" s="226"/>
      <c r="C67" s="226"/>
      <c r="D67" s="226"/>
      <c r="E67" s="226" t="s">
        <v>421</v>
      </c>
      <c r="F67" s="226"/>
      <c r="G67" s="227"/>
      <c r="H67" s="223"/>
      <c r="I67" s="223"/>
      <c r="J67" s="223"/>
      <c r="K67" s="223"/>
      <c r="L67" s="223"/>
    </row>
    <row r="68" spans="1:13">
      <c r="A68" s="228" t="s">
        <v>418</v>
      </c>
      <c r="B68" s="229"/>
      <c r="C68" s="229"/>
      <c r="D68" s="229"/>
      <c r="E68" s="229"/>
      <c r="F68" s="229"/>
      <c r="G68" s="230"/>
      <c r="H68" s="225">
        <v>5</v>
      </c>
      <c r="I68" s="226" t="s">
        <v>467</v>
      </c>
      <c r="J68" s="226"/>
      <c r="K68" s="226"/>
      <c r="L68" s="226"/>
      <c r="M68" s="247"/>
    </row>
    <row r="69" spans="1:13">
      <c r="A69" s="228" t="s">
        <v>419</v>
      </c>
      <c r="B69" s="229"/>
      <c r="C69" s="229"/>
      <c r="D69" s="229"/>
      <c r="E69" s="229"/>
      <c r="F69" s="229"/>
      <c r="G69" s="230"/>
      <c r="H69" s="228"/>
      <c r="I69" s="229"/>
      <c r="J69" s="229" t="s">
        <v>468</v>
      </c>
      <c r="K69" s="229"/>
      <c r="L69" s="229"/>
      <c r="M69" s="250"/>
    </row>
    <row r="70" spans="1:13">
      <c r="A70" s="228"/>
      <c r="B70" s="229"/>
      <c r="C70" s="229"/>
      <c r="D70" s="229"/>
      <c r="E70" s="229"/>
      <c r="F70" s="229"/>
      <c r="G70" s="230"/>
      <c r="H70" s="228">
        <v>5</v>
      </c>
      <c r="I70" s="229" t="s">
        <v>469</v>
      </c>
      <c r="J70" s="229"/>
      <c r="K70" s="229"/>
      <c r="L70" s="229"/>
      <c r="M70" s="250"/>
    </row>
    <row r="71" spans="1:13">
      <c r="A71" s="228" t="s">
        <v>420</v>
      </c>
      <c r="B71" s="229"/>
      <c r="C71" s="235">
        <v>2004</v>
      </c>
      <c r="D71" s="235">
        <f>C71+1</f>
        <v>2005</v>
      </c>
      <c r="E71" s="235">
        <f>D71+1</f>
        <v>2006</v>
      </c>
      <c r="F71" s="235">
        <f>E71+1</f>
        <v>2007</v>
      </c>
      <c r="G71" s="235">
        <f>F71+1</f>
        <v>2008</v>
      </c>
      <c r="H71" s="254">
        <v>5</v>
      </c>
      <c r="I71" s="229" t="s">
        <v>470</v>
      </c>
      <c r="J71" s="229"/>
      <c r="K71" s="229"/>
      <c r="L71" s="229"/>
      <c r="M71" s="250"/>
    </row>
    <row r="72" spans="1:13">
      <c r="A72" s="228"/>
      <c r="B72" s="229" t="s">
        <v>694</v>
      </c>
      <c r="C72" s="491">
        <f>C42</f>
        <v>320.62922000000015</v>
      </c>
      <c r="D72" s="491">
        <f>D42</f>
        <v>370.26868400000035</v>
      </c>
      <c r="E72" s="491">
        <f>E42</f>
        <v>426.00404080000021</v>
      </c>
      <c r="F72" s="491">
        <f>F42</f>
        <v>491.26486896000029</v>
      </c>
      <c r="G72" s="492">
        <f>G42</f>
        <v>566.82906275200071</v>
      </c>
      <c r="H72" s="231">
        <v>15</v>
      </c>
      <c r="I72" s="232"/>
      <c r="J72" s="232"/>
      <c r="K72" s="232"/>
      <c r="L72" s="232"/>
      <c r="M72" s="253"/>
    </row>
    <row r="73" spans="1:13">
      <c r="A73" s="228"/>
      <c r="B73" s="229" t="s">
        <v>423</v>
      </c>
      <c r="C73" s="229"/>
      <c r="D73" s="491">
        <f>D72-C72</f>
        <v>49.639464000000203</v>
      </c>
      <c r="E73" s="491">
        <f>E72-D72</f>
        <v>55.735356799999863</v>
      </c>
      <c r="F73" s="491">
        <f>F72-E72</f>
        <v>65.260828160000074</v>
      </c>
      <c r="G73" s="492">
        <f>G72-F72</f>
        <v>75.564193792000424</v>
      </c>
      <c r="H73" s="223"/>
      <c r="I73" s="223"/>
      <c r="J73" s="223"/>
      <c r="K73" s="223"/>
      <c r="L73" s="223"/>
    </row>
    <row r="74" spans="1:13">
      <c r="A74" s="228"/>
      <c r="B74" s="229"/>
      <c r="C74" s="229"/>
      <c r="D74" s="229"/>
      <c r="E74" s="229"/>
      <c r="F74" s="229"/>
      <c r="G74" s="230"/>
      <c r="H74" s="223"/>
      <c r="I74" s="223"/>
      <c r="J74" s="223"/>
      <c r="K74" s="223"/>
      <c r="L74" s="223"/>
    </row>
    <row r="75" spans="1:13">
      <c r="A75" s="228" t="s">
        <v>424</v>
      </c>
      <c r="B75" s="229"/>
      <c r="C75" s="229"/>
      <c r="D75" s="229"/>
      <c r="E75" s="229"/>
      <c r="F75" s="229"/>
      <c r="G75" s="230"/>
      <c r="H75" s="223"/>
      <c r="I75" s="223"/>
      <c r="J75" s="223"/>
      <c r="K75" s="223"/>
      <c r="L75" s="223"/>
    </row>
    <row r="76" spans="1:13">
      <c r="A76" s="228" t="s">
        <v>425</v>
      </c>
      <c r="B76" s="229"/>
      <c r="C76" s="229"/>
      <c r="D76" s="229"/>
      <c r="E76" s="229"/>
      <c r="F76" s="229"/>
      <c r="G76" s="230"/>
      <c r="H76" s="223"/>
      <c r="I76" s="223"/>
      <c r="J76" s="223"/>
      <c r="K76" s="223"/>
      <c r="L76" s="223"/>
    </row>
    <row r="77" spans="1:13">
      <c r="A77" s="228"/>
      <c r="B77" s="229"/>
      <c r="C77" s="229"/>
      <c r="D77" s="229"/>
      <c r="E77" s="229"/>
      <c r="F77" s="229"/>
      <c r="G77" s="230"/>
      <c r="H77" s="223"/>
      <c r="I77" s="223"/>
      <c r="J77" s="223"/>
      <c r="K77" s="223"/>
      <c r="L77" s="223"/>
    </row>
    <row r="78" spans="1:13">
      <c r="A78" s="231"/>
      <c r="B78" s="232"/>
      <c r="C78" s="232"/>
      <c r="D78" s="232"/>
      <c r="E78" s="232"/>
      <c r="F78" s="232"/>
      <c r="G78" s="233"/>
      <c r="H78" s="223"/>
      <c r="I78" s="223"/>
      <c r="J78" s="223"/>
      <c r="K78" s="223"/>
      <c r="L78" s="223"/>
    </row>
    <row r="79" spans="1:13">
      <c r="A79" s="223"/>
      <c r="B79" s="223"/>
      <c r="C79" s="223"/>
      <c r="D79" s="223"/>
      <c r="E79" s="223"/>
      <c r="F79" s="223"/>
      <c r="G79" s="223"/>
      <c r="H79" s="223"/>
      <c r="I79" s="223"/>
      <c r="J79" s="223"/>
      <c r="K79" s="223"/>
      <c r="L79" s="223"/>
    </row>
    <row r="80" spans="1:13">
      <c r="A80" s="224" t="s">
        <v>357</v>
      </c>
      <c r="B80" s="223"/>
      <c r="C80" s="223"/>
      <c r="D80" s="223"/>
      <c r="E80" s="223"/>
      <c r="F80" s="223"/>
      <c r="G80" s="223"/>
      <c r="H80" s="223"/>
      <c r="I80" s="223"/>
      <c r="J80" s="223"/>
      <c r="K80" s="223"/>
      <c r="L80" s="223"/>
    </row>
    <row r="81" spans="1:13">
      <c r="A81" s="224" t="s">
        <v>360</v>
      </c>
      <c r="B81" s="223"/>
      <c r="C81" s="223"/>
      <c r="D81" s="223"/>
      <c r="E81" s="223"/>
      <c r="F81" s="223"/>
      <c r="G81" s="223"/>
      <c r="H81" s="223"/>
      <c r="I81" s="223"/>
      <c r="J81" s="223"/>
      <c r="K81" s="223"/>
      <c r="L81" s="223"/>
    </row>
    <row r="82" spans="1:13">
      <c r="A82" s="225" t="s">
        <v>430</v>
      </c>
      <c r="B82" s="226"/>
      <c r="C82" s="226"/>
      <c r="D82" s="226"/>
      <c r="E82" s="226"/>
      <c r="F82" s="226"/>
      <c r="G82" s="227"/>
      <c r="H82" s="223"/>
      <c r="I82" s="223"/>
      <c r="J82" s="223"/>
      <c r="K82" s="223"/>
      <c r="L82" s="223"/>
    </row>
    <row r="83" spans="1:13">
      <c r="A83" s="228"/>
      <c r="B83" s="229"/>
      <c r="C83" s="235">
        <f>C71</f>
        <v>2004</v>
      </c>
      <c r="D83" s="235">
        <f>D71</f>
        <v>2005</v>
      </c>
      <c r="E83" s="235">
        <f>E71</f>
        <v>2006</v>
      </c>
      <c r="F83" s="235">
        <f>F71</f>
        <v>2007</v>
      </c>
      <c r="G83" s="236">
        <f>G71</f>
        <v>2008</v>
      </c>
      <c r="H83" s="223"/>
      <c r="I83" s="223"/>
      <c r="J83" s="223"/>
      <c r="K83" s="223"/>
      <c r="L83" s="223"/>
    </row>
    <row r="84" spans="1:13">
      <c r="A84" s="228"/>
      <c r="B84" s="229" t="s">
        <v>266</v>
      </c>
      <c r="C84" s="237">
        <f t="shared" ref="C84:G85" si="0">C24</f>
        <v>114.91319999999985</v>
      </c>
      <c r="D84" s="237">
        <f t="shared" si="0"/>
        <v>137.89583999999991</v>
      </c>
      <c r="E84" s="237">
        <f t="shared" si="0"/>
        <v>165.47500799999989</v>
      </c>
      <c r="F84" s="237">
        <f t="shared" si="0"/>
        <v>198.57000959999959</v>
      </c>
      <c r="G84" s="239">
        <f t="shared" si="0"/>
        <v>238.28401151999969</v>
      </c>
      <c r="H84" s="225">
        <v>5</v>
      </c>
      <c r="I84" s="226" t="s">
        <v>472</v>
      </c>
      <c r="J84" s="226"/>
      <c r="K84" s="226"/>
      <c r="L84" s="226"/>
      <c r="M84" s="247"/>
    </row>
    <row r="85" spans="1:13">
      <c r="A85" s="228"/>
      <c r="B85" s="229" t="s">
        <v>426</v>
      </c>
      <c r="C85" s="237">
        <f t="shared" si="0"/>
        <v>4.5600000000000005</v>
      </c>
      <c r="D85" s="237">
        <f t="shared" si="0"/>
        <v>4</v>
      </c>
      <c r="E85" s="237">
        <f t="shared" si="0"/>
        <v>3.52</v>
      </c>
      <c r="F85" s="237">
        <f t="shared" si="0"/>
        <v>2.96</v>
      </c>
      <c r="G85" s="239">
        <f t="shared" si="0"/>
        <v>2.4</v>
      </c>
      <c r="H85" s="228">
        <v>5</v>
      </c>
      <c r="I85" s="229" t="s">
        <v>473</v>
      </c>
      <c r="J85" s="229"/>
      <c r="K85" s="229"/>
      <c r="L85" s="229"/>
      <c r="M85" s="250"/>
    </row>
    <row r="86" spans="1:13">
      <c r="A86" s="228"/>
      <c r="B86" s="229" t="s">
        <v>427</v>
      </c>
      <c r="C86" s="238">
        <f>C72*0.09</f>
        <v>28.856629800000011</v>
      </c>
      <c r="D86" s="238">
        <f>D72*0.09</f>
        <v>33.324181560000028</v>
      </c>
      <c r="E86" s="238">
        <f>E72*0.09</f>
        <v>38.340363672000016</v>
      </c>
      <c r="F86" s="238">
        <f>F72*0.09</f>
        <v>44.213838206400027</v>
      </c>
      <c r="G86" s="240">
        <f>G72*0.09</f>
        <v>51.01461564768006</v>
      </c>
      <c r="H86" s="254">
        <v>5</v>
      </c>
      <c r="I86" s="229" t="s">
        <v>471</v>
      </c>
      <c r="J86" s="229"/>
      <c r="K86" s="229"/>
      <c r="L86" s="229"/>
      <c r="M86" s="250"/>
    </row>
    <row r="87" spans="1:13">
      <c r="A87" s="228"/>
      <c r="B87" s="229" t="s">
        <v>428</v>
      </c>
      <c r="C87" s="237">
        <f>C85+C86</f>
        <v>33.41662980000001</v>
      </c>
      <c r="D87" s="237">
        <f>D85+D86</f>
        <v>37.324181560000028</v>
      </c>
      <c r="E87" s="237">
        <f>E85+E86</f>
        <v>41.86036367200002</v>
      </c>
      <c r="F87" s="237">
        <f>F85+F86</f>
        <v>47.173838206400028</v>
      </c>
      <c r="G87" s="239">
        <f>G85+G86</f>
        <v>53.414615647680058</v>
      </c>
      <c r="H87" s="231">
        <v>15</v>
      </c>
      <c r="I87" s="232"/>
      <c r="J87" s="232"/>
      <c r="K87" s="232"/>
      <c r="L87" s="232"/>
      <c r="M87" s="253"/>
    </row>
    <row r="88" spans="1:13">
      <c r="A88" s="228"/>
      <c r="B88" s="229" t="s">
        <v>429</v>
      </c>
      <c r="C88" s="493">
        <f>C84/C87</f>
        <v>3.4388027963250742</v>
      </c>
      <c r="D88" s="493">
        <f>D84/D87</f>
        <v>3.6945442401282707</v>
      </c>
      <c r="E88" s="493">
        <f>E84/E87</f>
        <v>3.9530236597223944</v>
      </c>
      <c r="F88" s="493">
        <f>F84/F87</f>
        <v>4.2093248535596111</v>
      </c>
      <c r="G88" s="494">
        <f>G84/G87</f>
        <v>4.4610264181569379</v>
      </c>
      <c r="H88" s="223"/>
      <c r="I88" s="223"/>
      <c r="J88" s="223"/>
      <c r="K88" s="223"/>
      <c r="L88" s="223"/>
    </row>
    <row r="89" spans="1:13">
      <c r="A89" s="228"/>
      <c r="B89" s="229"/>
      <c r="C89" s="229"/>
      <c r="D89" s="229"/>
      <c r="E89" s="229"/>
      <c r="F89" s="229"/>
      <c r="G89" s="230"/>
      <c r="H89" s="223"/>
      <c r="I89" s="223"/>
      <c r="J89" s="223"/>
      <c r="K89" s="223"/>
      <c r="L89" s="223"/>
    </row>
    <row r="90" spans="1:13">
      <c r="A90" s="228" t="s">
        <v>695</v>
      </c>
      <c r="B90" s="229"/>
      <c r="C90" s="229"/>
      <c r="D90" s="229"/>
      <c r="E90" s="229"/>
      <c r="F90" s="229"/>
      <c r="G90" s="230"/>
      <c r="H90" s="223"/>
      <c r="I90" s="223"/>
      <c r="J90" s="223"/>
      <c r="K90" s="223"/>
      <c r="L90" s="223"/>
    </row>
    <row r="91" spans="1:13">
      <c r="A91" s="228"/>
      <c r="B91" s="229"/>
      <c r="C91" s="229"/>
      <c r="D91" s="229"/>
      <c r="E91" s="229"/>
      <c r="F91" s="229"/>
      <c r="G91" s="230"/>
      <c r="H91" s="223"/>
      <c r="I91" s="223"/>
      <c r="J91" s="223"/>
      <c r="K91" s="223"/>
      <c r="L91" s="223"/>
    </row>
    <row r="92" spans="1:13">
      <c r="A92" s="228"/>
      <c r="B92" s="229"/>
      <c r="C92" s="229"/>
      <c r="D92" s="229"/>
      <c r="E92" s="229"/>
      <c r="F92" s="229"/>
      <c r="G92" s="230"/>
      <c r="H92" s="223"/>
      <c r="I92" s="223"/>
      <c r="J92" s="223"/>
      <c r="K92" s="223"/>
      <c r="L92" s="223"/>
    </row>
    <row r="93" spans="1:13">
      <c r="A93" s="231"/>
      <c r="B93" s="232"/>
      <c r="C93" s="232"/>
      <c r="D93" s="232"/>
      <c r="E93" s="232"/>
      <c r="F93" s="232"/>
      <c r="G93" s="233"/>
      <c r="H93" s="223"/>
      <c r="I93" s="223"/>
      <c r="J93" s="223"/>
      <c r="K93" s="223"/>
      <c r="L93" s="223"/>
    </row>
    <row r="94" spans="1:13">
      <c r="A94" s="223"/>
      <c r="B94" s="223"/>
      <c r="C94" s="223"/>
      <c r="D94" s="223"/>
      <c r="E94" s="223"/>
      <c r="F94" s="223"/>
      <c r="G94" s="223"/>
      <c r="H94" s="223"/>
      <c r="I94" s="223"/>
      <c r="J94" s="223"/>
      <c r="K94" s="223"/>
      <c r="L94" s="223"/>
    </row>
    <row r="95" spans="1:13">
      <c r="A95" s="224" t="s">
        <v>358</v>
      </c>
      <c r="B95" s="223"/>
      <c r="C95" s="223"/>
      <c r="D95" s="223"/>
      <c r="E95" s="223"/>
      <c r="F95" s="223"/>
      <c r="G95" s="223"/>
      <c r="H95" s="223"/>
      <c r="I95" s="223"/>
      <c r="J95" s="223"/>
      <c r="K95" s="223"/>
      <c r="L95" s="223"/>
    </row>
    <row r="96" spans="1:13">
      <c r="A96" s="224" t="s">
        <v>361</v>
      </c>
      <c r="B96" s="224"/>
      <c r="C96" s="224"/>
      <c r="D96" s="224"/>
      <c r="E96" s="224"/>
      <c r="F96" s="223"/>
      <c r="G96" s="223"/>
      <c r="H96" s="223"/>
      <c r="I96" s="223"/>
      <c r="J96" s="223"/>
      <c r="K96" s="223"/>
      <c r="L96" s="223"/>
    </row>
    <row r="97" spans="1:13">
      <c r="A97" s="225" t="s">
        <v>431</v>
      </c>
      <c r="B97" s="226"/>
      <c r="C97" s="226"/>
      <c r="D97" s="226"/>
      <c r="E97" s="226"/>
      <c r="F97" s="226"/>
      <c r="G97" s="227"/>
      <c r="H97" s="223"/>
      <c r="I97" s="223"/>
      <c r="J97" s="223"/>
      <c r="K97" s="223"/>
      <c r="L97" s="223"/>
    </row>
    <row r="98" spans="1:13">
      <c r="A98" s="228" t="s">
        <v>432</v>
      </c>
      <c r="B98" s="229"/>
      <c r="C98" s="229"/>
      <c r="D98" s="229"/>
      <c r="E98" s="229"/>
      <c r="F98" s="229"/>
      <c r="G98" s="230"/>
      <c r="H98" s="223"/>
      <c r="I98" s="223"/>
      <c r="J98" s="223"/>
      <c r="K98" s="223"/>
      <c r="L98" s="223"/>
    </row>
    <row r="99" spans="1:13">
      <c r="A99" s="228"/>
      <c r="B99" s="229"/>
      <c r="C99" s="229" t="s">
        <v>476</v>
      </c>
      <c r="D99" s="229"/>
      <c r="E99" s="229"/>
      <c r="F99" s="229"/>
      <c r="G99" s="230"/>
      <c r="H99" s="225">
        <v>8</v>
      </c>
      <c r="I99" s="226" t="s">
        <v>475</v>
      </c>
      <c r="J99" s="226"/>
      <c r="K99" s="226"/>
      <c r="L99" s="226"/>
      <c r="M99" s="247"/>
    </row>
    <row r="100" spans="1:13">
      <c r="A100" s="228"/>
      <c r="B100" s="229"/>
      <c r="C100" s="229"/>
      <c r="D100" s="229"/>
      <c r="E100" s="229"/>
      <c r="F100" s="229"/>
      <c r="G100" s="230"/>
      <c r="H100" s="254">
        <v>7</v>
      </c>
      <c r="I100" s="229" t="s">
        <v>471</v>
      </c>
      <c r="J100" s="229"/>
      <c r="K100" s="229"/>
      <c r="L100" s="229"/>
      <c r="M100" s="250"/>
    </row>
    <row r="101" spans="1:13">
      <c r="A101" s="228" t="s">
        <v>14</v>
      </c>
      <c r="B101" s="229"/>
      <c r="C101" s="229"/>
      <c r="D101" s="229"/>
      <c r="E101" s="229"/>
      <c r="F101" s="229"/>
      <c r="G101" s="230"/>
      <c r="H101" s="231">
        <v>15</v>
      </c>
      <c r="I101" s="232"/>
      <c r="J101" s="232"/>
      <c r="K101" s="232"/>
      <c r="L101" s="232"/>
      <c r="M101" s="253"/>
    </row>
    <row r="102" spans="1:13">
      <c r="A102" s="228"/>
      <c r="B102" s="229"/>
      <c r="C102" s="229"/>
      <c r="D102" s="229"/>
      <c r="E102" s="229"/>
      <c r="F102" s="229"/>
      <c r="G102" s="230"/>
      <c r="H102" s="223"/>
      <c r="I102" s="223"/>
      <c r="J102" s="223"/>
      <c r="K102" s="223"/>
      <c r="L102" s="223"/>
    </row>
    <row r="103" spans="1:13">
      <c r="A103" s="228"/>
      <c r="B103" s="229"/>
      <c r="C103" s="229"/>
      <c r="D103" s="229"/>
      <c r="E103" s="229"/>
      <c r="F103" s="229"/>
      <c r="G103" s="230"/>
      <c r="H103" s="223"/>
      <c r="I103" s="223"/>
      <c r="J103" s="223"/>
      <c r="K103" s="223"/>
      <c r="L103" s="223"/>
    </row>
    <row r="104" spans="1:13">
      <c r="A104" s="228"/>
      <c r="B104" s="229"/>
      <c r="C104" s="229"/>
      <c r="D104" s="229"/>
      <c r="E104" s="229"/>
      <c r="F104" s="229"/>
      <c r="G104" s="230"/>
      <c r="H104" s="223"/>
      <c r="I104" s="223"/>
      <c r="J104" s="223"/>
      <c r="K104" s="223"/>
      <c r="L104" s="223"/>
    </row>
    <row r="105" spans="1:13">
      <c r="A105" s="228"/>
      <c r="B105" s="229"/>
      <c r="C105" s="229"/>
      <c r="D105" s="229"/>
      <c r="E105" s="229"/>
      <c r="F105" s="229"/>
      <c r="G105" s="230"/>
      <c r="H105" s="223"/>
      <c r="I105" s="223"/>
      <c r="J105" s="223"/>
      <c r="K105" s="223"/>
      <c r="L105" s="223"/>
    </row>
    <row r="106" spans="1:13">
      <c r="A106" s="228"/>
      <c r="B106" s="229"/>
      <c r="C106" s="229"/>
      <c r="D106" s="229"/>
      <c r="E106" s="229"/>
      <c r="F106" s="229"/>
      <c r="G106" s="230"/>
      <c r="H106" s="223"/>
      <c r="I106" s="223"/>
      <c r="J106" s="223"/>
      <c r="K106" s="223"/>
      <c r="L106" s="223"/>
    </row>
    <row r="107" spans="1:13">
      <c r="A107" s="231"/>
      <c r="B107" s="232"/>
      <c r="C107" s="232"/>
      <c r="D107" s="232"/>
      <c r="E107" s="232"/>
      <c r="F107" s="232"/>
      <c r="G107" s="233"/>
      <c r="H107" s="255">
        <v>60</v>
      </c>
      <c r="I107" s="256" t="s">
        <v>474</v>
      </c>
      <c r="J107" s="256"/>
      <c r="K107" s="256"/>
      <c r="L107" s="256"/>
      <c r="M107" s="257"/>
    </row>
    <row r="108" spans="1:13">
      <c r="A108" s="223"/>
      <c r="B108" s="223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</row>
    <row r="109" spans="1:13">
      <c r="A109" s="223"/>
      <c r="B109" s="223"/>
      <c r="C109" s="223"/>
      <c r="D109" s="223"/>
      <c r="E109" s="223"/>
      <c r="F109" s="223"/>
      <c r="G109" s="223"/>
      <c r="H109" s="223"/>
      <c r="I109" s="223"/>
      <c r="J109" s="223"/>
      <c r="K109" s="223"/>
      <c r="L109" s="223"/>
    </row>
    <row r="110" spans="1:13">
      <c r="A110" s="223"/>
      <c r="B110" s="223"/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</row>
    <row r="111" spans="1:13">
      <c r="A111" s="223"/>
      <c r="B111" s="223"/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</row>
    <row r="112" spans="1:13">
      <c r="A112" s="223"/>
      <c r="B112" s="223"/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</row>
    <row r="113" spans="1:12">
      <c r="A113" s="223"/>
      <c r="B113" s="223"/>
      <c r="C113" s="223"/>
      <c r="D113" s="223"/>
      <c r="E113" s="223"/>
      <c r="F113" s="223"/>
      <c r="G113" s="223"/>
      <c r="H113" s="223"/>
      <c r="I113" s="223"/>
      <c r="J113" s="223"/>
      <c r="K113" s="223"/>
      <c r="L113" s="223"/>
    </row>
    <row r="114" spans="1:12">
      <c r="A114" s="223"/>
      <c r="B114" s="223"/>
      <c r="C114" s="223"/>
      <c r="D114" s="223"/>
      <c r="E114" s="223"/>
      <c r="F114" s="223"/>
      <c r="G114" s="223"/>
      <c r="H114" s="223"/>
      <c r="I114" s="223"/>
      <c r="J114" s="223"/>
      <c r="K114" s="223"/>
      <c r="L114" s="223"/>
    </row>
    <row r="115" spans="1:12">
      <c r="A115" s="223"/>
      <c r="B115" s="223"/>
      <c r="C115" s="223"/>
      <c r="D115" s="223"/>
      <c r="E115" s="223"/>
      <c r="F115" s="223"/>
      <c r="G115" s="223"/>
      <c r="H115" s="223"/>
      <c r="I115" s="223"/>
      <c r="J115" s="223"/>
      <c r="K115" s="223"/>
      <c r="L115" s="223"/>
    </row>
    <row r="116" spans="1:12">
      <c r="A116" s="223"/>
      <c r="B116" s="223"/>
      <c r="C116" s="223"/>
      <c r="D116" s="223"/>
      <c r="E116" s="223"/>
      <c r="F116" s="223"/>
      <c r="G116" s="223"/>
      <c r="H116" s="223"/>
      <c r="I116" s="223"/>
      <c r="J116" s="223"/>
      <c r="K116" s="223"/>
      <c r="L116" s="223"/>
    </row>
    <row r="117" spans="1:12">
      <c r="A117" s="223"/>
      <c r="B117" s="223"/>
      <c r="C117" s="223"/>
      <c r="D117" s="223"/>
      <c r="E117" s="223"/>
      <c r="F117" s="223"/>
      <c r="G117" s="223"/>
      <c r="H117" s="223"/>
      <c r="I117" s="223"/>
      <c r="J117" s="223"/>
      <c r="K117" s="223"/>
      <c r="L117" s="223"/>
    </row>
    <row r="118" spans="1:12">
      <c r="A118" s="223"/>
      <c r="B118" s="223"/>
      <c r="C118" s="223"/>
      <c r="D118" s="223"/>
      <c r="E118" s="223"/>
      <c r="F118" s="223"/>
      <c r="G118" s="223"/>
      <c r="H118" s="223"/>
      <c r="I118" s="223"/>
      <c r="J118" s="223"/>
      <c r="K118" s="223"/>
      <c r="L118" s="223"/>
    </row>
    <row r="119" spans="1:12">
      <c r="A119" s="223"/>
      <c r="B119" s="223"/>
      <c r="C119" s="223"/>
      <c r="D119" s="223"/>
      <c r="E119" s="223"/>
      <c r="F119" s="223"/>
      <c r="G119" s="223"/>
      <c r="H119" s="223"/>
      <c r="I119" s="223"/>
      <c r="J119" s="223"/>
      <c r="K119" s="223"/>
      <c r="L119" s="223"/>
    </row>
    <row r="120" spans="1:12">
      <c r="A120" s="223"/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  <c r="L120" s="223"/>
    </row>
    <row r="121" spans="1:12">
      <c r="A121" s="223"/>
      <c r="B121" s="223"/>
      <c r="C121" s="223"/>
      <c r="D121" s="223"/>
      <c r="E121" s="223"/>
      <c r="F121" s="223"/>
      <c r="G121" s="223"/>
      <c r="H121" s="223"/>
      <c r="I121" s="223"/>
      <c r="J121" s="223"/>
      <c r="K121" s="223"/>
      <c r="L121" s="223"/>
    </row>
    <row r="122" spans="1:12">
      <c r="A122" s="223"/>
      <c r="B122" s="223"/>
      <c r="C122" s="223"/>
      <c r="D122" s="223"/>
      <c r="E122" s="223"/>
      <c r="F122" s="223"/>
      <c r="G122" s="223"/>
      <c r="H122" s="223"/>
      <c r="I122" s="223"/>
      <c r="J122" s="223"/>
      <c r="K122" s="223"/>
      <c r="L122" s="223"/>
    </row>
    <row r="123" spans="1:12">
      <c r="A123" s="223"/>
      <c r="B123" s="223"/>
      <c r="C123" s="223"/>
      <c r="D123" s="223"/>
      <c r="E123" s="223"/>
      <c r="F123" s="223"/>
      <c r="G123" s="223"/>
      <c r="H123" s="223"/>
      <c r="I123" s="223"/>
      <c r="J123" s="223"/>
      <c r="K123" s="223"/>
      <c r="L123" s="223"/>
    </row>
    <row r="124" spans="1:12">
      <c r="A124" s="223"/>
      <c r="B124" s="223"/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</row>
    <row r="125" spans="1:12">
      <c r="A125" s="223"/>
      <c r="B125" s="223"/>
      <c r="C125" s="223"/>
      <c r="D125" s="223"/>
      <c r="E125" s="223"/>
      <c r="F125" s="223"/>
      <c r="G125" s="223"/>
      <c r="H125" s="223"/>
      <c r="I125" s="223"/>
      <c r="J125" s="223"/>
      <c r="K125" s="223"/>
      <c r="L125" s="223"/>
    </row>
    <row r="126" spans="1:12">
      <c r="A126" s="223"/>
      <c r="B126" s="223"/>
      <c r="C126" s="223"/>
      <c r="D126" s="223"/>
      <c r="E126" s="223"/>
      <c r="F126" s="223"/>
      <c r="G126" s="223"/>
      <c r="H126" s="223"/>
      <c r="I126" s="223"/>
      <c r="J126" s="223"/>
      <c r="K126" s="223"/>
      <c r="L126" s="223"/>
    </row>
    <row r="127" spans="1:12">
      <c r="A127" s="223"/>
      <c r="B127" s="223"/>
      <c r="C127" s="223"/>
      <c r="D127" s="223"/>
      <c r="E127" s="223"/>
      <c r="F127" s="223"/>
      <c r="G127" s="223"/>
      <c r="H127" s="223"/>
      <c r="I127" s="223"/>
      <c r="J127" s="223"/>
      <c r="K127" s="223"/>
      <c r="L127" s="223"/>
    </row>
    <row r="128" spans="1:12">
      <c r="A128" s="223"/>
      <c r="B128" s="223"/>
      <c r="C128" s="223"/>
      <c r="D128" s="223"/>
      <c r="E128" s="223"/>
      <c r="F128" s="223"/>
      <c r="G128" s="223"/>
      <c r="H128" s="223"/>
      <c r="I128" s="223"/>
      <c r="J128" s="223"/>
      <c r="K128" s="223"/>
      <c r="L128" s="223"/>
    </row>
  </sheetData>
  <phoneticPr fontId="9" type="noConversion"/>
  <printOptions headings="1" gridLines="1"/>
  <pageMargins left="0.75" right="0.75" top="1" bottom="1" header="0.5" footer="0.5"/>
  <pageSetup scale="41" orientation="portrait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127"/>
  <sheetViews>
    <sheetView topLeftCell="A57" workbookViewId="0"/>
  </sheetViews>
  <sheetFormatPr defaultColWidth="8.85546875" defaultRowHeight="15"/>
  <cols>
    <col min="1" max="1" width="44.42578125" customWidth="1"/>
    <col min="2" max="2" width="19.140625" customWidth="1"/>
    <col min="3" max="3" width="12.7109375" customWidth="1"/>
    <col min="4" max="5" width="11.28515625" customWidth="1"/>
    <col min="6" max="6" width="12.42578125" customWidth="1"/>
    <col min="7" max="7" width="12.7109375" customWidth="1"/>
  </cols>
  <sheetData>
    <row r="1" spans="1:10">
      <c r="A1" s="83" t="s">
        <v>768</v>
      </c>
      <c r="B1" s="82" t="s">
        <v>225</v>
      </c>
    </row>
    <row r="2" spans="1:10" ht="20.25">
      <c r="A2" s="81" t="s">
        <v>230</v>
      </c>
      <c r="B2" s="80">
        <v>2004</v>
      </c>
      <c r="C2" s="80">
        <v>2004</v>
      </c>
      <c r="D2" s="80">
        <v>2005</v>
      </c>
      <c r="E2" s="79">
        <v>2006</v>
      </c>
      <c r="F2" s="79">
        <v>2007</v>
      </c>
      <c r="G2" s="79">
        <v>2008</v>
      </c>
    </row>
    <row r="3" spans="1:10" ht="20.25">
      <c r="A3" s="78" t="s">
        <v>224</v>
      </c>
      <c r="B3" s="482">
        <v>2694</v>
      </c>
      <c r="C3" s="77" t="s">
        <v>311</v>
      </c>
      <c r="D3" s="77"/>
      <c r="E3" s="76"/>
      <c r="F3" s="76"/>
      <c r="G3" s="76"/>
    </row>
    <row r="4" spans="1:10" ht="20.25">
      <c r="A4" s="78" t="s">
        <v>223</v>
      </c>
      <c r="B4" s="482"/>
      <c r="C4" s="483">
        <v>0</v>
      </c>
      <c r="D4" s="484">
        <v>0</v>
      </c>
      <c r="E4" s="485">
        <v>0</v>
      </c>
      <c r="F4" s="485">
        <v>0</v>
      </c>
      <c r="G4" s="485">
        <v>0</v>
      </c>
    </row>
    <row r="5" spans="1:10" ht="20.25">
      <c r="A5" s="78" t="s">
        <v>222</v>
      </c>
      <c r="B5" s="482"/>
      <c r="C5" s="483">
        <v>0</v>
      </c>
      <c r="D5" s="483">
        <v>0</v>
      </c>
      <c r="E5" s="483">
        <v>0</v>
      </c>
      <c r="F5" s="483">
        <v>0</v>
      </c>
      <c r="G5" s="483">
        <v>0</v>
      </c>
    </row>
    <row r="6" spans="1:10" ht="20.25">
      <c r="A6" s="78" t="s">
        <v>221</v>
      </c>
      <c r="B6" s="482"/>
      <c r="C6" s="486">
        <v>0</v>
      </c>
      <c r="D6" s="486">
        <v>0</v>
      </c>
      <c r="E6" s="486">
        <v>0</v>
      </c>
      <c r="F6" s="486">
        <v>0</v>
      </c>
      <c r="G6" s="486">
        <v>0</v>
      </c>
    </row>
    <row r="7" spans="1:10" ht="20.25">
      <c r="A7" s="78" t="s">
        <v>228</v>
      </c>
      <c r="B7" s="482" t="s">
        <v>311</v>
      </c>
      <c r="C7" s="487">
        <v>50</v>
      </c>
      <c r="D7" s="487">
        <v>43</v>
      </c>
      <c r="E7" s="487">
        <v>37</v>
      </c>
      <c r="F7" s="487">
        <v>30</v>
      </c>
      <c r="G7" s="487">
        <v>23</v>
      </c>
    </row>
    <row r="8" spans="1:10" ht="20.25">
      <c r="A8" s="78" t="s">
        <v>220</v>
      </c>
      <c r="B8" s="482" t="s">
        <v>311</v>
      </c>
      <c r="C8" s="487">
        <v>7</v>
      </c>
      <c r="D8" s="487">
        <v>7</v>
      </c>
      <c r="E8" s="487">
        <v>7</v>
      </c>
      <c r="F8" s="487">
        <v>7</v>
      </c>
      <c r="G8" s="487">
        <v>7</v>
      </c>
    </row>
    <row r="9" spans="1:10" ht="20.25">
      <c r="A9" s="78" t="s">
        <v>219</v>
      </c>
      <c r="B9" s="482" t="s">
        <v>311</v>
      </c>
      <c r="C9" s="488">
        <v>0</v>
      </c>
      <c r="D9" s="488">
        <v>0</v>
      </c>
      <c r="E9" s="488">
        <v>0</v>
      </c>
      <c r="F9" s="488">
        <v>0</v>
      </c>
      <c r="G9" s="488">
        <v>0</v>
      </c>
    </row>
    <row r="10" spans="1:10" ht="20.25">
      <c r="A10" s="78" t="s">
        <v>156</v>
      </c>
      <c r="B10" s="482"/>
      <c r="C10" s="488">
        <v>0.35</v>
      </c>
      <c r="D10" s="488">
        <v>0.35</v>
      </c>
      <c r="E10" s="488">
        <v>0.35</v>
      </c>
      <c r="F10" s="488">
        <v>0.35</v>
      </c>
      <c r="G10" s="488">
        <v>0.35</v>
      </c>
    </row>
    <row r="11" spans="1:10" ht="20.25">
      <c r="A11" s="78" t="s">
        <v>155</v>
      </c>
      <c r="B11" s="482"/>
      <c r="C11" s="488">
        <v>0</v>
      </c>
      <c r="D11" s="488">
        <v>0</v>
      </c>
      <c r="E11" s="488">
        <v>0</v>
      </c>
      <c r="F11" s="488">
        <v>0</v>
      </c>
      <c r="G11" s="488">
        <v>0</v>
      </c>
    </row>
    <row r="12" spans="1:10" ht="20.25">
      <c r="A12" s="78" t="s">
        <v>154</v>
      </c>
      <c r="B12" s="482"/>
      <c r="C12" s="488">
        <v>0</v>
      </c>
      <c r="D12" s="488">
        <v>0</v>
      </c>
      <c r="E12" s="488">
        <v>0</v>
      </c>
      <c r="F12" s="488">
        <v>0</v>
      </c>
      <c r="G12" s="488">
        <v>0</v>
      </c>
    </row>
    <row r="13" spans="1:10" ht="20.25">
      <c r="A13" s="78" t="s">
        <v>238</v>
      </c>
      <c r="B13" s="482"/>
      <c r="C13" s="487">
        <v>157</v>
      </c>
      <c r="D13" s="487">
        <v>160</v>
      </c>
      <c r="E13" s="487">
        <v>163</v>
      </c>
      <c r="F13" s="487">
        <v>166</v>
      </c>
      <c r="G13" s="487">
        <v>168</v>
      </c>
      <c r="J13" t="s">
        <v>311</v>
      </c>
    </row>
    <row r="14" spans="1:10" ht="20.25">
      <c r="A14" s="78" t="s">
        <v>153</v>
      </c>
      <c r="B14" s="482"/>
      <c r="C14" s="488">
        <v>0</v>
      </c>
      <c r="D14" s="488">
        <v>0</v>
      </c>
      <c r="E14" s="488">
        <v>0</v>
      </c>
      <c r="F14" s="488">
        <v>0</v>
      </c>
      <c r="G14" s="488">
        <v>0</v>
      </c>
    </row>
    <row r="15" spans="1:10" ht="20.25">
      <c r="A15" s="78" t="s">
        <v>152</v>
      </c>
      <c r="B15" s="482">
        <v>348</v>
      </c>
      <c r="C15" s="77"/>
      <c r="D15" s="77"/>
      <c r="E15" s="76"/>
      <c r="F15" s="76"/>
      <c r="G15" s="76"/>
    </row>
    <row r="16" spans="1:10" ht="20.25">
      <c r="A16" s="78"/>
      <c r="B16" s="482"/>
      <c r="C16" s="77"/>
      <c r="D16" s="77"/>
      <c r="E16" s="76"/>
      <c r="F16" s="76"/>
      <c r="G16" s="76"/>
    </row>
    <row r="17" spans="1:10" ht="20.25">
      <c r="A17" s="70" t="s">
        <v>204</v>
      </c>
      <c r="B17" s="65"/>
      <c r="C17" s="65"/>
      <c r="D17" s="65"/>
      <c r="E17" s="65"/>
      <c r="F17" s="65"/>
      <c r="G17" s="65"/>
    </row>
    <row r="18" spans="1:10" ht="20.25">
      <c r="A18" s="65"/>
      <c r="B18" s="75" t="s">
        <v>151</v>
      </c>
      <c r="C18" s="75" t="s">
        <v>150</v>
      </c>
      <c r="D18" s="74" t="s">
        <v>311</v>
      </c>
      <c r="E18" s="65"/>
      <c r="F18" s="65"/>
      <c r="G18" s="65"/>
    </row>
    <row r="19" spans="1:10" ht="20.25">
      <c r="A19" s="73" t="s">
        <v>230</v>
      </c>
      <c r="B19" s="72">
        <f>C2</f>
        <v>2004</v>
      </c>
      <c r="C19" s="72">
        <v>2004</v>
      </c>
      <c r="D19" s="72">
        <f>D2</f>
        <v>2005</v>
      </c>
      <c r="E19" s="72">
        <f>E2</f>
        <v>2006</v>
      </c>
      <c r="F19" s="72">
        <f>F2</f>
        <v>2007</v>
      </c>
      <c r="G19" s="72">
        <f>G2</f>
        <v>2008</v>
      </c>
    </row>
    <row r="20" spans="1:10" ht="20.25">
      <c r="A20" s="64" t="s">
        <v>149</v>
      </c>
      <c r="B20" s="63" t="s">
        <v>387</v>
      </c>
      <c r="C20" s="489">
        <f>B3*(1+C4)</f>
        <v>2694</v>
      </c>
      <c r="D20" s="489">
        <f>C20*(1+D4)</f>
        <v>2694</v>
      </c>
      <c r="E20" s="489">
        <f>D20*(1+E4)</f>
        <v>2694</v>
      </c>
      <c r="F20" s="489">
        <f>E20*(1+F4)</f>
        <v>2694</v>
      </c>
      <c r="G20" s="489">
        <f>F20*(1+G4)</f>
        <v>2694</v>
      </c>
    </row>
    <row r="21" spans="1:10" ht="20.25">
      <c r="A21" s="64" t="s">
        <v>148</v>
      </c>
      <c r="B21" s="68" t="s">
        <v>388</v>
      </c>
      <c r="C21" s="67">
        <f>C5*C20</f>
        <v>0</v>
      </c>
      <c r="D21" s="67">
        <f>D5*D20</f>
        <v>0</v>
      </c>
      <c r="E21" s="67">
        <f>E5*E20</f>
        <v>0</v>
      </c>
      <c r="F21" s="67">
        <f>F5*F20</f>
        <v>0</v>
      </c>
      <c r="G21" s="67">
        <f>G5*G20</f>
        <v>0</v>
      </c>
    </row>
    <row r="22" spans="1:10" ht="20.25">
      <c r="A22" s="64" t="s">
        <v>141</v>
      </c>
      <c r="B22" s="63" t="s">
        <v>389</v>
      </c>
      <c r="C22" s="66">
        <f>C20-C21</f>
        <v>2694</v>
      </c>
      <c r="D22" s="66">
        <f>D20-D21</f>
        <v>2694</v>
      </c>
      <c r="E22" s="66">
        <f>E20-E21</f>
        <v>2694</v>
      </c>
      <c r="F22" s="66">
        <f>F20-F21</f>
        <v>2694</v>
      </c>
      <c r="G22" s="66">
        <f>G20-G21</f>
        <v>2694</v>
      </c>
    </row>
    <row r="23" spans="1:10" ht="20.25">
      <c r="A23" s="64" t="s">
        <v>247</v>
      </c>
      <c r="B23" s="63" t="s">
        <v>390</v>
      </c>
      <c r="C23" s="66">
        <f>C6*C20</f>
        <v>0</v>
      </c>
      <c r="D23" s="66">
        <f>D6*D20</f>
        <v>0</v>
      </c>
      <c r="E23" s="66">
        <f>E6*E20</f>
        <v>0</v>
      </c>
      <c r="F23" s="66">
        <f>F6*F20</f>
        <v>0</v>
      </c>
      <c r="G23" s="66">
        <f>G6*G20</f>
        <v>0</v>
      </c>
    </row>
    <row r="24" spans="1:10" ht="20.25">
      <c r="A24" s="64" t="s">
        <v>266</v>
      </c>
      <c r="B24" s="68" t="s">
        <v>391</v>
      </c>
      <c r="C24" s="67">
        <f>C22-C23</f>
        <v>2694</v>
      </c>
      <c r="D24" s="67">
        <f>D22-D23</f>
        <v>2694</v>
      </c>
      <c r="E24" s="67">
        <f>E22-E23</f>
        <v>2694</v>
      </c>
      <c r="F24" s="67">
        <f>F22-F23</f>
        <v>2694</v>
      </c>
      <c r="G24" s="67">
        <f>G22-G23</f>
        <v>2694</v>
      </c>
    </row>
    <row r="25" spans="1:10" ht="20.25">
      <c r="A25" s="64" t="s">
        <v>279</v>
      </c>
      <c r="B25" s="68" t="s">
        <v>338</v>
      </c>
      <c r="C25" s="71">
        <f>(C7+C8)*C9</f>
        <v>0</v>
      </c>
      <c r="D25" s="71">
        <f>(D7+D8)*D9</f>
        <v>0</v>
      </c>
      <c r="E25" s="71">
        <f>(E7+E8)*E9</f>
        <v>0</v>
      </c>
      <c r="F25" s="71">
        <f>(F7+F8)*F9</f>
        <v>0</v>
      </c>
      <c r="G25" s="71">
        <f>(G7+G8)*G9</f>
        <v>0</v>
      </c>
    </row>
    <row r="26" spans="1:10" ht="20.25">
      <c r="A26" s="64" t="s">
        <v>246</v>
      </c>
      <c r="B26" s="63" t="s">
        <v>243</v>
      </c>
      <c r="C26" s="66">
        <f>C22-C23-C25</f>
        <v>2694</v>
      </c>
      <c r="D26" s="66">
        <f>D22-D23-D25</f>
        <v>2694</v>
      </c>
      <c r="E26" s="66">
        <f>E22-E23-E25</f>
        <v>2694</v>
      </c>
      <c r="F26" s="66">
        <f>F22-F23-F25</f>
        <v>2694</v>
      </c>
      <c r="G26" s="66">
        <f>G22-G23-G25</f>
        <v>2694</v>
      </c>
    </row>
    <row r="27" spans="1:10" ht="20.25">
      <c r="A27" s="64" t="s">
        <v>245</v>
      </c>
      <c r="B27" s="68" t="s">
        <v>392</v>
      </c>
      <c r="C27" s="67">
        <f>C10*C26</f>
        <v>942.9</v>
      </c>
      <c r="D27" s="67">
        <f>D10*D26</f>
        <v>942.9</v>
      </c>
      <c r="E27" s="67">
        <f>E10*E26</f>
        <v>942.9</v>
      </c>
      <c r="F27" s="67">
        <f>F10*F26</f>
        <v>942.9</v>
      </c>
      <c r="G27" s="67">
        <f>G10*G26</f>
        <v>942.9</v>
      </c>
    </row>
    <row r="28" spans="1:10" ht="20.25">
      <c r="A28" s="64" t="s">
        <v>244</v>
      </c>
      <c r="B28" s="63" t="s">
        <v>240</v>
      </c>
      <c r="C28" s="66">
        <f>C26-C27</f>
        <v>1751.1</v>
      </c>
      <c r="D28" s="66">
        <f>D26-D27</f>
        <v>1751.1</v>
      </c>
      <c r="E28" s="66">
        <f>E26-E27</f>
        <v>1751.1</v>
      </c>
      <c r="F28" s="66">
        <f>F26-F27</f>
        <v>1751.1</v>
      </c>
      <c r="G28" s="66">
        <f>G26-G27</f>
        <v>1751.1</v>
      </c>
      <c r="J28" t="s">
        <v>311</v>
      </c>
    </row>
    <row r="29" spans="1:10" ht="20.25">
      <c r="A29" s="64" t="s">
        <v>242</v>
      </c>
      <c r="B29" s="68" t="s">
        <v>393</v>
      </c>
      <c r="C29" s="67">
        <f>C11*C28</f>
        <v>0</v>
      </c>
      <c r="D29" s="67">
        <f>D11*D28</f>
        <v>0</v>
      </c>
      <c r="E29" s="67">
        <f>E11*E28</f>
        <v>0</v>
      </c>
      <c r="F29" s="67">
        <f>F11*F28</f>
        <v>0</v>
      </c>
      <c r="G29" s="67">
        <f>G11*G28</f>
        <v>0</v>
      </c>
    </row>
    <row r="30" spans="1:10" ht="20.25">
      <c r="A30" s="64" t="s">
        <v>241</v>
      </c>
      <c r="B30" s="63" t="s">
        <v>394</v>
      </c>
      <c r="C30" s="66">
        <f>C28-C29</f>
        <v>1751.1</v>
      </c>
      <c r="D30" s="66">
        <f>D28-D29</f>
        <v>1751.1</v>
      </c>
      <c r="E30" s="66">
        <f>E28-E29</f>
        <v>1751.1</v>
      </c>
      <c r="F30" s="66">
        <f>F28-F29</f>
        <v>1751.1</v>
      </c>
      <c r="G30" s="66">
        <f>G28-G29</f>
        <v>1751.1</v>
      </c>
    </row>
    <row r="31" spans="1:10" ht="20.25">
      <c r="A31" s="65"/>
      <c r="B31" s="65"/>
      <c r="C31" s="69"/>
      <c r="D31" s="69"/>
      <c r="E31" s="69"/>
      <c r="F31" s="69"/>
      <c r="G31" s="69"/>
    </row>
    <row r="32" spans="1:10" ht="20.25">
      <c r="A32" s="70" t="s">
        <v>239</v>
      </c>
      <c r="B32" s="65"/>
      <c r="C32" s="69"/>
      <c r="D32" s="69"/>
      <c r="E32" s="69"/>
      <c r="F32" s="69"/>
      <c r="G32" s="69"/>
    </row>
    <row r="33" spans="1:11" ht="20.25">
      <c r="A33" s="64" t="s">
        <v>144</v>
      </c>
      <c r="B33" s="63" t="s">
        <v>395</v>
      </c>
      <c r="C33" s="66">
        <f>C12*C20</f>
        <v>0</v>
      </c>
      <c r="D33" s="66">
        <f>D12*D20</f>
        <v>0</v>
      </c>
      <c r="E33" s="66">
        <f>E12*E20</f>
        <v>0</v>
      </c>
      <c r="F33" s="66">
        <f>F12*F20</f>
        <v>0</v>
      </c>
      <c r="G33" s="66">
        <f>G12*G20</f>
        <v>0</v>
      </c>
    </row>
    <row r="34" spans="1:11" ht="20.25">
      <c r="A34" s="64" t="s">
        <v>238</v>
      </c>
      <c r="B34" s="68" t="s">
        <v>237</v>
      </c>
      <c r="C34" s="67">
        <f>C13</f>
        <v>157</v>
      </c>
      <c r="D34" s="67">
        <f>D13</f>
        <v>160</v>
      </c>
      <c r="E34" s="67">
        <f>E13</f>
        <v>163</v>
      </c>
      <c r="F34" s="67">
        <f>F13</f>
        <v>166</v>
      </c>
      <c r="G34" s="67">
        <f>G13</f>
        <v>168</v>
      </c>
    </row>
    <row r="35" spans="1:11" ht="20.25">
      <c r="A35" s="64" t="s">
        <v>236</v>
      </c>
      <c r="B35" s="63" t="s">
        <v>396</v>
      </c>
      <c r="C35" s="66">
        <f>C33+C34</f>
        <v>157</v>
      </c>
      <c r="D35" s="66">
        <f>D33+D34</f>
        <v>160</v>
      </c>
      <c r="E35" s="66">
        <f>E33+E34</f>
        <v>163</v>
      </c>
      <c r="F35" s="66">
        <f>F33+F34</f>
        <v>166</v>
      </c>
      <c r="G35" s="66">
        <f>G33+G34</f>
        <v>168</v>
      </c>
    </row>
    <row r="36" spans="1:11" ht="20.25">
      <c r="A36" s="64"/>
      <c r="B36" s="65"/>
      <c r="C36" s="69"/>
      <c r="D36" s="69"/>
      <c r="E36" s="69"/>
      <c r="F36" s="69"/>
      <c r="G36" s="69"/>
    </row>
    <row r="37" spans="1:11" ht="20.25">
      <c r="A37" s="64" t="s">
        <v>143</v>
      </c>
      <c r="B37" s="63" t="s">
        <v>397</v>
      </c>
      <c r="C37" s="66">
        <f>C14*C20</f>
        <v>0</v>
      </c>
      <c r="D37" s="66">
        <f>D14*D20</f>
        <v>0</v>
      </c>
      <c r="E37" s="66">
        <f>E14*E20</f>
        <v>0</v>
      </c>
      <c r="F37" s="66">
        <f>F14*F20</f>
        <v>0</v>
      </c>
      <c r="G37" s="66">
        <f>G14*G20</f>
        <v>0</v>
      </c>
    </row>
    <row r="38" spans="1:11" ht="20.25">
      <c r="A38" s="64" t="s">
        <v>228</v>
      </c>
      <c r="B38" s="63" t="s">
        <v>235</v>
      </c>
      <c r="C38" s="66">
        <f>C7</f>
        <v>50</v>
      </c>
      <c r="D38" s="66">
        <v>43</v>
      </c>
      <c r="E38" s="66">
        <v>37</v>
      </c>
      <c r="F38" s="66">
        <v>30</v>
      </c>
      <c r="G38" s="66">
        <v>22</v>
      </c>
    </row>
    <row r="39" spans="1:11" ht="20.25">
      <c r="A39" s="64" t="s">
        <v>234</v>
      </c>
      <c r="B39" s="68" t="s">
        <v>398</v>
      </c>
      <c r="C39" s="67">
        <f>B15+C30</f>
        <v>2099.1</v>
      </c>
      <c r="D39" s="67">
        <f>C39+D30</f>
        <v>3850.2</v>
      </c>
      <c r="E39" s="67">
        <f>D39+E30</f>
        <v>5601.2999999999993</v>
      </c>
      <c r="F39" s="67">
        <f>E39+F30</f>
        <v>7352.4</v>
      </c>
      <c r="G39" s="67">
        <f>F39+G30</f>
        <v>9103.5</v>
      </c>
    </row>
    <row r="40" spans="1:11" ht="20.25">
      <c r="A40" s="64" t="s">
        <v>233</v>
      </c>
      <c r="B40" s="63" t="s">
        <v>399</v>
      </c>
      <c r="C40" s="66">
        <f>C37+C38+C39</f>
        <v>2149.1</v>
      </c>
      <c r="D40" s="66">
        <f>D37+D38+D39</f>
        <v>3893.2</v>
      </c>
      <c r="E40" s="66">
        <f>E37+E38+E39</f>
        <v>5638.2999999999993</v>
      </c>
      <c r="F40" s="66">
        <f>F37+F38+F39</f>
        <v>7382.4</v>
      </c>
      <c r="G40" s="66">
        <f>G37+G38+G39</f>
        <v>9125.5</v>
      </c>
    </row>
    <row r="41" spans="1:11" ht="20.25">
      <c r="A41" s="64" t="s">
        <v>232</v>
      </c>
      <c r="B41" s="65"/>
      <c r="C41" s="65"/>
      <c r="D41" s="65"/>
      <c r="E41" s="65"/>
      <c r="F41" s="65"/>
      <c r="G41" s="65"/>
    </row>
    <row r="42" spans="1:11" ht="20.25">
      <c r="A42" s="64" t="s">
        <v>231</v>
      </c>
      <c r="B42" s="63" t="s">
        <v>400</v>
      </c>
      <c r="C42" s="490">
        <f>C35-C40</f>
        <v>-1992.1</v>
      </c>
      <c r="D42" s="490">
        <f>D35-D40</f>
        <v>-3733.2</v>
      </c>
      <c r="E42" s="490">
        <f>E35-E40</f>
        <v>-5475.2999999999993</v>
      </c>
      <c r="F42" s="490">
        <f>F35-F40</f>
        <v>-7216.4</v>
      </c>
      <c r="G42" s="490">
        <f>G35-G40</f>
        <v>-8957.5</v>
      </c>
    </row>
    <row r="46" spans="1:11" ht="15.75" thickBot="1">
      <c r="A46" s="1" t="s">
        <v>696</v>
      </c>
    </row>
    <row r="47" spans="1:11" ht="18">
      <c r="A47" s="495" t="s">
        <v>697</v>
      </c>
      <c r="B47" s="496"/>
      <c r="C47" s="496"/>
      <c r="D47" s="496"/>
      <c r="E47" s="497"/>
      <c r="F47" s="497"/>
      <c r="G47" s="497"/>
      <c r="H47" s="497"/>
      <c r="I47" s="497"/>
      <c r="J47" s="217"/>
      <c r="K47" s="218"/>
    </row>
    <row r="48" spans="1:11" ht="15.75">
      <c r="A48" s="498" t="s">
        <v>339</v>
      </c>
      <c r="B48" s="499"/>
      <c r="C48" s="499"/>
      <c r="D48" s="499"/>
      <c r="E48" s="500"/>
      <c r="F48" s="500"/>
      <c r="G48" s="500"/>
      <c r="H48" s="500"/>
      <c r="I48" s="500"/>
      <c r="J48" s="219"/>
      <c r="K48" s="220"/>
    </row>
    <row r="49" spans="1:11" ht="15.75">
      <c r="A49" s="498" t="s">
        <v>340</v>
      </c>
      <c r="B49" s="499"/>
      <c r="C49" s="499">
        <v>2694</v>
      </c>
      <c r="D49" s="499"/>
      <c r="E49" s="500"/>
      <c r="F49" s="500"/>
      <c r="G49" s="500"/>
      <c r="H49" s="500"/>
      <c r="I49" s="500"/>
      <c r="J49" s="219"/>
      <c r="K49" s="220"/>
    </row>
    <row r="50" spans="1:11" ht="16.5" thickBot="1">
      <c r="A50" s="498" t="s">
        <v>341</v>
      </c>
      <c r="B50" s="346"/>
      <c r="C50" s="501">
        <f>0.016</f>
        <v>1.6E-2</v>
      </c>
      <c r="D50" s="499"/>
      <c r="E50" s="500"/>
      <c r="F50" s="500"/>
      <c r="G50" s="500"/>
      <c r="H50" s="500"/>
      <c r="I50" s="500"/>
      <c r="J50" s="219"/>
      <c r="K50" s="220"/>
    </row>
    <row r="51" spans="1:11" ht="24" thickBot="1">
      <c r="A51" s="502" t="s">
        <v>698</v>
      </c>
      <c r="B51" s="503"/>
      <c r="C51" s="503"/>
      <c r="D51" s="504"/>
      <c r="E51" s="505"/>
      <c r="F51" s="503" t="s">
        <v>699</v>
      </c>
      <c r="G51" s="506"/>
      <c r="H51" s="506"/>
      <c r="I51" s="507"/>
      <c r="J51" s="219"/>
      <c r="K51" s="220"/>
    </row>
    <row r="52" spans="1:11" ht="15.75">
      <c r="A52" s="498"/>
      <c r="B52" s="499"/>
      <c r="C52" s="508"/>
      <c r="D52" s="509" t="s">
        <v>715</v>
      </c>
      <c r="E52" s="510"/>
      <c r="F52" s="508"/>
      <c r="G52" s="508"/>
      <c r="H52" s="508"/>
      <c r="I52" s="511" t="s">
        <v>715</v>
      </c>
      <c r="J52" s="219"/>
      <c r="K52" s="220"/>
    </row>
    <row r="53" spans="1:11" ht="15.75">
      <c r="A53" s="498" t="s">
        <v>342</v>
      </c>
      <c r="B53" s="499"/>
      <c r="C53" s="499"/>
      <c r="D53" s="512"/>
      <c r="E53" s="513"/>
      <c r="F53" s="499" t="s">
        <v>343</v>
      </c>
      <c r="G53" s="499"/>
      <c r="H53" s="499"/>
      <c r="I53" s="514"/>
      <c r="J53" s="219"/>
      <c r="K53" s="220"/>
    </row>
    <row r="54" spans="1:11" ht="15.75">
      <c r="A54" s="498"/>
      <c r="B54" s="499" t="s">
        <v>716</v>
      </c>
      <c r="C54" s="512">
        <v>317</v>
      </c>
      <c r="D54" s="499"/>
      <c r="E54" s="513"/>
      <c r="F54" s="499"/>
      <c r="G54" s="499" t="s">
        <v>344</v>
      </c>
      <c r="H54" s="499">
        <v>256</v>
      </c>
      <c r="I54" s="514"/>
      <c r="J54" s="219"/>
      <c r="K54" s="220"/>
    </row>
    <row r="55" spans="1:11" ht="15.75">
      <c r="A55" s="498"/>
      <c r="B55" s="515" t="s">
        <v>717</v>
      </c>
      <c r="C55" s="516">
        <v>418</v>
      </c>
      <c r="D55" s="516"/>
      <c r="E55" s="513"/>
      <c r="F55" s="499"/>
      <c r="G55" s="515" t="s">
        <v>345</v>
      </c>
      <c r="H55" s="515">
        <v>39</v>
      </c>
      <c r="I55" s="517"/>
      <c r="J55" s="219"/>
      <c r="K55" s="220"/>
    </row>
    <row r="56" spans="1:11" ht="15.75">
      <c r="A56" s="498" t="s">
        <v>346</v>
      </c>
      <c r="B56" s="499"/>
      <c r="C56" s="499"/>
      <c r="D56" s="518">
        <f>((C54+C55)/C49)*100</f>
        <v>27.282850779510021</v>
      </c>
      <c r="E56" s="513"/>
      <c r="F56" s="499" t="s">
        <v>347</v>
      </c>
      <c r="G56" s="499"/>
      <c r="H56" s="499"/>
      <c r="I56" s="519">
        <f>((H54+H55)/2694)*100</f>
        <v>10.950259836674091</v>
      </c>
      <c r="J56" s="219"/>
      <c r="K56" s="220"/>
    </row>
    <row r="57" spans="1:11" ht="15.75">
      <c r="A57" s="498"/>
      <c r="B57" s="499"/>
      <c r="C57" s="499"/>
      <c r="D57" s="512"/>
      <c r="E57" s="513"/>
      <c r="F57" s="499"/>
      <c r="G57" s="499"/>
      <c r="H57" s="499"/>
      <c r="I57" s="514"/>
      <c r="J57" s="219"/>
      <c r="K57" s="220"/>
    </row>
    <row r="58" spans="1:11" ht="15.75">
      <c r="A58" s="498" t="s">
        <v>348</v>
      </c>
      <c r="B58" s="499"/>
      <c r="C58" s="499"/>
      <c r="D58" s="512"/>
      <c r="E58" s="513"/>
      <c r="F58" s="499" t="s">
        <v>349</v>
      </c>
      <c r="G58" s="499"/>
      <c r="H58" s="499"/>
      <c r="I58" s="520">
        <v>0</v>
      </c>
      <c r="J58" s="219"/>
      <c r="K58" s="220"/>
    </row>
    <row r="59" spans="1:11" ht="15.75">
      <c r="A59" s="498"/>
      <c r="B59" s="499" t="s">
        <v>350</v>
      </c>
      <c r="C59" s="499"/>
      <c r="D59" s="512"/>
      <c r="E59" s="513"/>
      <c r="F59" s="499"/>
      <c r="G59" s="499"/>
      <c r="H59" s="499"/>
      <c r="I59" s="514"/>
      <c r="J59" s="219"/>
      <c r="K59" s="220"/>
    </row>
    <row r="60" spans="1:11" ht="15.75">
      <c r="A60" s="498"/>
      <c r="B60" s="499" t="s">
        <v>351</v>
      </c>
      <c r="C60" s="499"/>
      <c r="D60" s="512"/>
      <c r="E60" s="513"/>
      <c r="F60" s="499" t="s">
        <v>100</v>
      </c>
      <c r="G60" s="499"/>
      <c r="H60" s="499"/>
      <c r="I60" s="514"/>
      <c r="J60" s="219"/>
      <c r="K60" s="220"/>
    </row>
    <row r="61" spans="1:11" ht="15.75">
      <c r="A61" s="498"/>
      <c r="B61" s="515" t="s">
        <v>352</v>
      </c>
      <c r="C61" s="515"/>
      <c r="D61" s="516"/>
      <c r="E61" s="513"/>
      <c r="F61" s="499"/>
      <c r="G61" s="515" t="s">
        <v>718</v>
      </c>
      <c r="H61" s="521"/>
      <c r="I61" s="522">
        <v>1.6</v>
      </c>
      <c r="J61" s="219"/>
      <c r="K61" s="220"/>
    </row>
    <row r="62" spans="1:11" ht="15.75">
      <c r="A62" s="498" t="s">
        <v>719</v>
      </c>
      <c r="B62" s="499"/>
      <c r="C62" s="499"/>
      <c r="D62" s="523">
        <v>0</v>
      </c>
      <c r="E62" s="513"/>
      <c r="F62" s="499"/>
      <c r="G62" s="499"/>
      <c r="H62" s="499"/>
      <c r="I62" s="514"/>
      <c r="J62" s="219"/>
      <c r="K62" s="220"/>
    </row>
    <row r="63" spans="1:11" ht="15.75">
      <c r="A63" s="498"/>
      <c r="B63" s="499"/>
      <c r="C63" s="499"/>
      <c r="D63" s="499"/>
      <c r="E63" s="513"/>
      <c r="F63" s="499" t="s">
        <v>720</v>
      </c>
      <c r="G63" s="499"/>
      <c r="H63" s="499"/>
      <c r="I63" s="524">
        <f>I56+I58+I61</f>
        <v>12.550259836674091</v>
      </c>
      <c r="J63" s="219"/>
      <c r="K63" s="220"/>
    </row>
    <row r="64" spans="1:11" ht="16.5" thickBot="1">
      <c r="A64" s="498"/>
      <c r="B64" s="499"/>
      <c r="C64" s="499"/>
      <c r="D64" s="512"/>
      <c r="E64" s="513"/>
      <c r="F64" s="499"/>
      <c r="G64" s="499"/>
      <c r="H64" s="499"/>
      <c r="I64" s="514"/>
      <c r="J64" s="219"/>
      <c r="K64" s="220"/>
    </row>
    <row r="65" spans="1:14" ht="16.5" thickBot="1">
      <c r="A65" s="498"/>
      <c r="B65" s="499"/>
      <c r="C65" s="499"/>
      <c r="D65" s="512"/>
      <c r="E65" s="513"/>
      <c r="F65" s="525" t="s">
        <v>353</v>
      </c>
      <c r="G65" s="346"/>
      <c r="H65" s="525"/>
      <c r="I65" s="526">
        <f>D67-I63</f>
        <v>14.73259094283593</v>
      </c>
      <c r="J65" s="219"/>
      <c r="K65" s="220"/>
    </row>
    <row r="66" spans="1:14" ht="15.75">
      <c r="A66" s="498"/>
      <c r="B66" s="499"/>
      <c r="C66" s="499" t="s">
        <v>311</v>
      </c>
      <c r="D66" s="512"/>
      <c r="E66" s="513"/>
      <c r="F66" s="499"/>
      <c r="G66" s="525" t="s">
        <v>721</v>
      </c>
      <c r="H66" s="499"/>
      <c r="I66" s="514"/>
      <c r="J66" s="219"/>
      <c r="K66" s="220"/>
    </row>
    <row r="67" spans="1:14" ht="16.5" thickBot="1">
      <c r="A67" s="527" t="s">
        <v>722</v>
      </c>
      <c r="B67" s="528"/>
      <c r="C67" s="528"/>
      <c r="D67" s="529">
        <f>D56+D62</f>
        <v>27.282850779510021</v>
      </c>
      <c r="E67" s="530"/>
      <c r="F67" s="528" t="s">
        <v>723</v>
      </c>
      <c r="G67" s="528"/>
      <c r="H67" s="528"/>
      <c r="I67" s="529">
        <f>I63+I65</f>
        <v>27.282850779510021</v>
      </c>
      <c r="J67" s="221"/>
      <c r="K67" s="222"/>
    </row>
    <row r="69" spans="1:14">
      <c r="A69" s="223"/>
      <c r="B69" s="223"/>
      <c r="C69" s="223"/>
      <c r="D69" s="223"/>
      <c r="E69" s="223"/>
      <c r="F69" s="223"/>
      <c r="G69" s="223"/>
      <c r="H69" s="223"/>
      <c r="I69" s="223"/>
      <c r="J69" s="223"/>
    </row>
    <row r="70" spans="1:14">
      <c r="A70" s="224" t="s">
        <v>362</v>
      </c>
      <c r="B70" s="223"/>
      <c r="C70" s="223"/>
      <c r="D70" s="223"/>
      <c r="E70" s="223"/>
      <c r="F70" s="223"/>
      <c r="G70" s="223"/>
      <c r="H70" s="223"/>
      <c r="I70" s="223"/>
      <c r="J70" s="224" t="s">
        <v>724</v>
      </c>
      <c r="K70" s="1"/>
    </row>
    <row r="71" spans="1:14">
      <c r="A71" s="224" t="s">
        <v>725</v>
      </c>
      <c r="B71" s="223"/>
      <c r="C71" s="223"/>
      <c r="D71" s="223"/>
      <c r="E71" s="223"/>
      <c r="F71" s="223"/>
      <c r="G71" s="223"/>
      <c r="H71" s="223"/>
      <c r="I71" s="223"/>
      <c r="J71" s="260" t="s">
        <v>482</v>
      </c>
      <c r="K71" s="261"/>
      <c r="L71" s="261"/>
      <c r="M71" s="262"/>
    </row>
    <row r="72" spans="1:14">
      <c r="A72" s="224" t="s">
        <v>364</v>
      </c>
      <c r="B72" s="223"/>
      <c r="C72" s="223"/>
      <c r="D72" s="223"/>
      <c r="E72" s="223"/>
      <c r="F72" s="223"/>
      <c r="G72" s="223"/>
      <c r="H72" s="223"/>
      <c r="I72" s="223"/>
      <c r="J72" s="223"/>
      <c r="K72" s="223"/>
    </row>
    <row r="73" spans="1:14">
      <c r="A73" s="225" t="s">
        <v>433</v>
      </c>
      <c r="B73" s="226"/>
      <c r="C73" s="226"/>
      <c r="D73" s="226"/>
      <c r="E73" s="226"/>
      <c r="F73" s="226"/>
      <c r="G73" s="226"/>
      <c r="H73" s="227"/>
      <c r="I73" s="223"/>
      <c r="J73" s="223"/>
      <c r="K73" s="223"/>
    </row>
    <row r="74" spans="1:14">
      <c r="A74" s="228" t="s">
        <v>434</v>
      </c>
      <c r="B74" s="229"/>
      <c r="C74" s="229"/>
      <c r="D74" s="229"/>
      <c r="E74" s="229"/>
      <c r="F74" s="229"/>
      <c r="G74" s="229"/>
      <c r="H74" s="230"/>
      <c r="I74" s="223"/>
      <c r="J74" s="268" t="s">
        <v>463</v>
      </c>
      <c r="K74" s="269" t="s">
        <v>464</v>
      </c>
      <c r="L74" s="263"/>
      <c r="M74" s="263"/>
      <c r="N74" s="264"/>
    </row>
    <row r="75" spans="1:14">
      <c r="A75" s="228"/>
      <c r="B75" s="229"/>
      <c r="C75" s="229"/>
      <c r="D75" s="229"/>
      <c r="E75" s="229"/>
      <c r="F75" s="229"/>
      <c r="G75" s="229"/>
      <c r="H75" s="230"/>
      <c r="I75" s="223"/>
      <c r="J75" s="228">
        <v>5</v>
      </c>
      <c r="K75" s="229" t="s">
        <v>568</v>
      </c>
      <c r="L75" s="265"/>
      <c r="M75" s="265"/>
      <c r="N75" s="266"/>
    </row>
    <row r="76" spans="1:14">
      <c r="A76" s="228" t="s">
        <v>451</v>
      </c>
      <c r="B76" s="229"/>
      <c r="C76" s="229"/>
      <c r="D76" s="229"/>
      <c r="E76" s="229"/>
      <c r="F76" s="229"/>
      <c r="G76" s="229"/>
      <c r="H76" s="230"/>
      <c r="I76" s="223"/>
      <c r="J76" s="228"/>
      <c r="K76" s="229"/>
      <c r="L76" s="229" t="s">
        <v>566</v>
      </c>
      <c r="M76" s="229"/>
      <c r="N76" s="230"/>
    </row>
    <row r="77" spans="1:14">
      <c r="A77" s="228" t="s">
        <v>435</v>
      </c>
      <c r="B77" s="229"/>
      <c r="C77" s="229"/>
      <c r="D77" s="229"/>
      <c r="E77" s="229"/>
      <c r="F77" s="229"/>
      <c r="G77" s="229"/>
      <c r="H77" s="230"/>
      <c r="I77" s="223"/>
      <c r="J77" s="228">
        <v>5</v>
      </c>
      <c r="K77" s="229" t="s">
        <v>569</v>
      </c>
      <c r="L77" s="219"/>
      <c r="M77" s="219"/>
      <c r="N77" s="250"/>
    </row>
    <row r="78" spans="1:14">
      <c r="A78" s="228" t="s">
        <v>436</v>
      </c>
      <c r="B78" s="229"/>
      <c r="C78" s="229"/>
      <c r="D78" s="229"/>
      <c r="E78" s="229"/>
      <c r="F78" s="229"/>
      <c r="G78" s="229"/>
      <c r="H78" s="230"/>
      <c r="I78" s="223"/>
      <c r="J78" s="228">
        <v>5</v>
      </c>
      <c r="K78" s="229" t="s">
        <v>478</v>
      </c>
      <c r="L78" s="219"/>
      <c r="M78" s="219"/>
      <c r="N78" s="250"/>
    </row>
    <row r="79" spans="1:14">
      <c r="A79" s="228"/>
      <c r="B79" s="229" t="s">
        <v>437</v>
      </c>
      <c r="C79" s="229"/>
      <c r="D79" s="229"/>
      <c r="E79" s="229"/>
      <c r="F79" s="229"/>
      <c r="G79" s="229"/>
      <c r="H79" s="230"/>
      <c r="I79" s="223"/>
      <c r="J79" s="254">
        <v>5</v>
      </c>
      <c r="K79" s="229" t="s">
        <v>483</v>
      </c>
      <c r="L79" s="219"/>
      <c r="M79" s="219"/>
      <c r="N79" s="250"/>
    </row>
    <row r="80" spans="1:14">
      <c r="A80" s="228"/>
      <c r="B80" s="229"/>
      <c r="C80" s="229"/>
      <c r="D80" s="229"/>
      <c r="E80" s="229"/>
      <c r="F80" s="229"/>
      <c r="G80" s="229"/>
      <c r="H80" s="230"/>
      <c r="I80" s="223"/>
      <c r="J80" s="231">
        <v>20</v>
      </c>
      <c r="K80" s="232"/>
      <c r="L80" s="232" t="s">
        <v>484</v>
      </c>
      <c r="M80" s="267"/>
      <c r="N80" s="253"/>
    </row>
    <row r="81" spans="1:14">
      <c r="A81" s="228" t="s">
        <v>452</v>
      </c>
      <c r="B81" s="229"/>
      <c r="C81" s="229"/>
      <c r="D81" s="229"/>
      <c r="E81" s="229"/>
      <c r="F81" s="229"/>
      <c r="G81" s="229"/>
      <c r="H81" s="230"/>
      <c r="I81" s="223"/>
      <c r="J81" s="223"/>
      <c r="K81" s="223"/>
      <c r="L81" s="258" t="s">
        <v>567</v>
      </c>
    </row>
    <row r="82" spans="1:14">
      <c r="A82" s="228" t="s">
        <v>453</v>
      </c>
      <c r="B82" s="229"/>
      <c r="C82" s="229"/>
      <c r="D82" s="229"/>
      <c r="E82" s="229"/>
      <c r="F82" s="229"/>
      <c r="G82" s="229"/>
      <c r="H82" s="230"/>
      <c r="I82" s="223"/>
      <c r="J82" s="223"/>
      <c r="K82" s="223"/>
    </row>
    <row r="83" spans="1:14">
      <c r="A83" s="228" t="s">
        <v>438</v>
      </c>
      <c r="B83" s="229"/>
      <c r="C83" s="229"/>
      <c r="D83" s="229"/>
      <c r="E83" s="229"/>
      <c r="F83" s="229"/>
      <c r="G83" s="229"/>
      <c r="H83" s="230"/>
      <c r="I83" s="223"/>
      <c r="J83" s="223"/>
      <c r="K83" s="223"/>
      <c r="L83" s="223"/>
      <c r="M83" s="223"/>
      <c r="N83" s="223"/>
    </row>
    <row r="84" spans="1:14">
      <c r="A84" s="228" t="s">
        <v>439</v>
      </c>
      <c r="B84" s="229"/>
      <c r="C84" s="229"/>
      <c r="D84" s="229"/>
      <c r="E84" s="229"/>
      <c r="F84" s="229"/>
      <c r="G84" s="229"/>
      <c r="H84" s="230"/>
      <c r="I84" s="223"/>
      <c r="J84" s="223"/>
      <c r="K84" s="223"/>
      <c r="L84" s="223"/>
      <c r="M84" s="223"/>
      <c r="N84" s="223"/>
    </row>
    <row r="85" spans="1:14">
      <c r="A85" s="228" t="s">
        <v>454</v>
      </c>
      <c r="B85" s="229"/>
      <c r="C85" s="229"/>
      <c r="D85" s="229"/>
      <c r="E85" s="229"/>
      <c r="F85" s="229"/>
      <c r="G85" s="229"/>
      <c r="H85" s="230"/>
      <c r="I85" s="223"/>
      <c r="J85" s="223"/>
      <c r="K85" s="234" t="s">
        <v>479</v>
      </c>
      <c r="L85" s="223"/>
      <c r="M85" s="223"/>
      <c r="N85" s="223"/>
    </row>
    <row r="86" spans="1:14">
      <c r="A86" s="228"/>
      <c r="B86" s="229"/>
      <c r="C86" s="229"/>
      <c r="D86" s="229"/>
      <c r="E86" s="229"/>
      <c r="F86" s="229"/>
      <c r="G86" s="229"/>
      <c r="H86" s="230"/>
      <c r="I86" s="223"/>
      <c r="J86" s="223"/>
      <c r="K86" s="234" t="s">
        <v>480</v>
      </c>
      <c r="L86" s="223"/>
      <c r="M86" s="223"/>
      <c r="N86" s="223"/>
    </row>
    <row r="87" spans="1:14">
      <c r="A87" s="231"/>
      <c r="B87" s="331" t="s">
        <v>15</v>
      </c>
      <c r="C87" s="232"/>
      <c r="D87" s="232"/>
      <c r="E87" s="232"/>
      <c r="F87" s="232"/>
      <c r="G87" s="232"/>
      <c r="H87" s="233"/>
      <c r="I87" s="223"/>
      <c r="J87" s="223"/>
      <c r="K87" s="234" t="s">
        <v>481</v>
      </c>
      <c r="L87" s="223"/>
      <c r="M87" s="223"/>
      <c r="N87" s="223"/>
    </row>
    <row r="88" spans="1:14">
      <c r="A88" s="223"/>
      <c r="B88" s="223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</row>
    <row r="89" spans="1:14">
      <c r="A89" s="224" t="s">
        <v>363</v>
      </c>
      <c r="B89" s="223"/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</row>
    <row r="90" spans="1:14">
      <c r="A90" s="224" t="s">
        <v>384</v>
      </c>
      <c r="B90" s="223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</row>
    <row r="91" spans="1:14">
      <c r="A91" s="224" t="s">
        <v>444</v>
      </c>
      <c r="B91" s="223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</row>
    <row r="92" spans="1:14">
      <c r="A92" s="224" t="s">
        <v>385</v>
      </c>
      <c r="B92" s="223"/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</row>
    <row r="93" spans="1:14">
      <c r="A93" s="225" t="s">
        <v>455</v>
      </c>
      <c r="B93" s="226"/>
      <c r="C93" s="226"/>
      <c r="D93" s="226"/>
      <c r="E93" s="226"/>
      <c r="F93" s="226"/>
      <c r="G93" s="226"/>
      <c r="H93" s="227"/>
      <c r="I93" s="223"/>
      <c r="J93" s="223"/>
      <c r="K93" s="223"/>
      <c r="L93" s="223"/>
      <c r="M93" s="223"/>
      <c r="N93" s="223"/>
    </row>
    <row r="94" spans="1:14">
      <c r="A94" s="228" t="s">
        <v>440</v>
      </c>
      <c r="B94" s="241" t="s">
        <v>422</v>
      </c>
      <c r="C94" s="531">
        <v>320.62922000000015</v>
      </c>
      <c r="D94" s="531">
        <v>370.26868400000035</v>
      </c>
      <c r="E94" s="531">
        <v>426.00404080000021</v>
      </c>
      <c r="F94" s="531">
        <v>491.26486896000029</v>
      </c>
      <c r="G94" s="531">
        <v>566.82906275200071</v>
      </c>
      <c r="H94" s="230"/>
      <c r="I94" s="223"/>
      <c r="J94" s="223"/>
      <c r="K94" s="223"/>
      <c r="L94" s="223"/>
      <c r="M94" s="223"/>
      <c r="N94" s="223"/>
    </row>
    <row r="95" spans="1:14">
      <c r="A95" s="228" t="s">
        <v>456</v>
      </c>
      <c r="B95" s="229"/>
      <c r="C95" s="229"/>
      <c r="D95" s="229"/>
      <c r="E95" s="229"/>
      <c r="F95" s="229"/>
      <c r="G95" s="229"/>
      <c r="H95" s="230"/>
      <c r="I95" s="223"/>
      <c r="J95" s="225">
        <v>6</v>
      </c>
      <c r="K95" s="226" t="s">
        <v>485</v>
      </c>
      <c r="L95" s="226"/>
      <c r="M95" s="226"/>
      <c r="N95" s="227"/>
    </row>
    <row r="96" spans="1:14">
      <c r="A96" s="228" t="s">
        <v>441</v>
      </c>
      <c r="B96" s="229"/>
      <c r="C96" s="229"/>
      <c r="D96" s="229"/>
      <c r="E96" s="229"/>
      <c r="F96" s="229"/>
      <c r="G96" s="229"/>
      <c r="H96" s="230"/>
      <c r="I96" s="223"/>
      <c r="J96" s="228"/>
      <c r="K96" s="229"/>
      <c r="L96" s="229" t="s">
        <v>486</v>
      </c>
      <c r="M96" s="229"/>
      <c r="N96" s="230"/>
    </row>
    <row r="97" spans="1:14">
      <c r="A97" s="228" t="s">
        <v>442</v>
      </c>
      <c r="B97" s="229"/>
      <c r="C97" s="229"/>
      <c r="D97" s="229"/>
      <c r="E97" s="229"/>
      <c r="F97" s="229"/>
      <c r="G97" s="229"/>
      <c r="H97" s="230"/>
      <c r="I97" s="223"/>
      <c r="J97" s="228"/>
      <c r="K97" s="229"/>
      <c r="L97" s="229" t="s">
        <v>487</v>
      </c>
      <c r="M97" s="229"/>
      <c r="N97" s="230"/>
    </row>
    <row r="98" spans="1:14">
      <c r="A98" s="228" t="s">
        <v>443</v>
      </c>
      <c r="B98" s="229"/>
      <c r="C98" s="229"/>
      <c r="D98" s="229"/>
      <c r="E98" s="229"/>
      <c r="F98" s="229"/>
      <c r="G98" s="229"/>
      <c r="H98" s="230"/>
      <c r="I98" s="223"/>
      <c r="J98" s="228">
        <v>7</v>
      </c>
      <c r="K98" s="229" t="s">
        <v>488</v>
      </c>
      <c r="L98" s="229"/>
      <c r="M98" s="229"/>
      <c r="N98" s="230"/>
    </row>
    <row r="99" spans="1:14">
      <c r="A99" s="228"/>
      <c r="B99" s="229"/>
      <c r="C99" s="229"/>
      <c r="D99" s="229"/>
      <c r="E99" s="229"/>
      <c r="F99" s="229"/>
      <c r="G99" s="229"/>
      <c r="H99" s="230"/>
      <c r="I99" s="223"/>
      <c r="J99" s="228"/>
      <c r="K99" s="229"/>
      <c r="L99" s="229" t="s">
        <v>489</v>
      </c>
      <c r="M99" s="229"/>
      <c r="N99" s="230"/>
    </row>
    <row r="100" spans="1:14">
      <c r="A100" s="228" t="s">
        <v>536</v>
      </c>
      <c r="B100" s="229"/>
      <c r="C100" s="229"/>
      <c r="D100" s="229"/>
      <c r="E100" s="229"/>
      <c r="F100" s="229"/>
      <c r="G100" s="229"/>
      <c r="H100" s="230"/>
      <c r="I100" s="223"/>
      <c r="J100" s="228"/>
      <c r="K100" s="229"/>
      <c r="L100" s="229" t="s">
        <v>490</v>
      </c>
      <c r="M100" s="229"/>
      <c r="N100" s="230"/>
    </row>
    <row r="101" spans="1:14">
      <c r="A101" s="228" t="s">
        <v>457</v>
      </c>
      <c r="B101" s="229"/>
      <c r="C101" s="229"/>
      <c r="D101" s="229"/>
      <c r="E101" s="229"/>
      <c r="F101" s="229"/>
      <c r="G101" s="229"/>
      <c r="H101" s="230"/>
      <c r="I101" s="223"/>
      <c r="J101" s="254">
        <v>7</v>
      </c>
      <c r="K101" s="229" t="s">
        <v>491</v>
      </c>
      <c r="L101" s="229"/>
      <c r="M101" s="229"/>
      <c r="N101" s="230"/>
    </row>
    <row r="102" spans="1:14">
      <c r="A102" s="228"/>
      <c r="B102" s="229"/>
      <c r="C102" s="330" t="s">
        <v>658</v>
      </c>
      <c r="D102" s="229"/>
      <c r="E102" s="229"/>
      <c r="F102" s="229"/>
      <c r="G102" s="229"/>
      <c r="H102" s="230"/>
      <c r="I102" s="223"/>
      <c r="J102" s="231">
        <v>20</v>
      </c>
      <c r="K102" s="232"/>
      <c r="L102" s="232"/>
      <c r="M102" s="232"/>
      <c r="N102" s="233"/>
    </row>
    <row r="103" spans="1:14">
      <c r="A103" s="228" t="s">
        <v>445</v>
      </c>
      <c r="B103" s="229"/>
      <c r="C103" s="242">
        <v>221.87400000000002</v>
      </c>
      <c r="D103" s="242">
        <v>218.97500000000014</v>
      </c>
      <c r="E103" s="242">
        <v>213.21410000000037</v>
      </c>
      <c r="F103" s="242">
        <v>206.38431000000037</v>
      </c>
      <c r="G103" s="242">
        <v>197.79249616400034</v>
      </c>
      <c r="H103" s="230"/>
      <c r="I103" s="223"/>
      <c r="J103" s="223"/>
      <c r="K103" s="223"/>
      <c r="L103" s="223"/>
      <c r="M103" s="223"/>
      <c r="N103" s="223"/>
    </row>
    <row r="104" spans="1:14">
      <c r="A104" s="228" t="s">
        <v>537</v>
      </c>
      <c r="B104" s="229"/>
      <c r="C104" s="242">
        <v>200.96900000000016</v>
      </c>
      <c r="D104" s="242">
        <v>176.82425000000012</v>
      </c>
      <c r="E104" s="242">
        <v>149.53026250000039</v>
      </c>
      <c r="F104" s="242">
        <v>120.94317562500055</v>
      </c>
      <c r="G104" s="242">
        <v>90.344824261375379</v>
      </c>
      <c r="H104" s="230"/>
      <c r="I104" s="223"/>
      <c r="J104" s="223"/>
      <c r="K104" s="223"/>
      <c r="L104" s="223"/>
      <c r="M104" s="223"/>
      <c r="N104" s="223"/>
    </row>
    <row r="105" spans="1:14">
      <c r="A105" s="228"/>
      <c r="B105" s="229" t="s">
        <v>450</v>
      </c>
      <c r="C105" s="229"/>
      <c r="D105" s="229"/>
      <c r="E105" s="229"/>
      <c r="F105" s="229"/>
      <c r="G105" s="229"/>
      <c r="H105" s="230"/>
      <c r="I105" s="223"/>
      <c r="J105" s="223"/>
      <c r="K105" s="223"/>
      <c r="L105" s="223"/>
      <c r="M105" s="223"/>
      <c r="N105" s="223"/>
    </row>
    <row r="106" spans="1:14">
      <c r="A106" s="228"/>
      <c r="B106" s="229"/>
      <c r="C106" s="229"/>
      <c r="D106" s="229"/>
      <c r="E106" s="229"/>
      <c r="F106" s="229"/>
      <c r="G106" s="229"/>
      <c r="H106" s="230"/>
      <c r="I106" s="223"/>
      <c r="J106" s="223"/>
      <c r="K106" s="223"/>
      <c r="L106" s="223"/>
      <c r="M106" s="223"/>
      <c r="N106" s="223"/>
    </row>
    <row r="107" spans="1:14">
      <c r="A107" s="228" t="s">
        <v>446</v>
      </c>
      <c r="B107" s="229"/>
      <c r="C107" s="229"/>
      <c r="D107" s="229"/>
      <c r="E107" s="229"/>
      <c r="F107" s="229"/>
      <c r="G107" s="229"/>
      <c r="H107" s="230"/>
      <c r="I107" s="223"/>
      <c r="J107" s="223"/>
      <c r="K107" s="223"/>
      <c r="L107" s="223"/>
      <c r="M107" s="223"/>
      <c r="N107" s="223"/>
    </row>
    <row r="108" spans="1:14">
      <c r="A108" s="228" t="s">
        <v>447</v>
      </c>
      <c r="B108" s="229"/>
      <c r="C108" s="229"/>
      <c r="D108" s="229"/>
      <c r="E108" s="229"/>
      <c r="F108" s="229"/>
      <c r="G108" s="229"/>
      <c r="H108" s="230"/>
      <c r="I108" s="223"/>
      <c r="J108" s="223"/>
      <c r="K108" s="223"/>
      <c r="L108" s="223"/>
      <c r="M108" s="223"/>
      <c r="N108" s="223"/>
    </row>
    <row r="109" spans="1:14">
      <c r="A109" s="579" t="s">
        <v>16</v>
      </c>
      <c r="B109" s="229"/>
      <c r="C109" s="229"/>
      <c r="D109" s="229"/>
      <c r="E109" s="229"/>
      <c r="F109" s="229"/>
      <c r="G109" s="229"/>
      <c r="H109" s="230"/>
      <c r="I109" s="223"/>
      <c r="J109" s="225" t="s">
        <v>492</v>
      </c>
      <c r="K109" s="226"/>
      <c r="L109" s="226"/>
      <c r="M109" s="227"/>
      <c r="N109" s="223"/>
    </row>
    <row r="110" spans="1:14">
      <c r="A110" s="228" t="s">
        <v>448</v>
      </c>
      <c r="B110" s="229"/>
      <c r="C110" s="229"/>
      <c r="D110" s="229"/>
      <c r="E110" s="229"/>
      <c r="F110" s="229"/>
      <c r="G110" s="229"/>
      <c r="H110" s="230"/>
      <c r="I110" s="223"/>
      <c r="J110" s="231" t="s">
        <v>493</v>
      </c>
      <c r="K110" s="232"/>
      <c r="L110" s="232"/>
      <c r="M110" s="233"/>
      <c r="N110" s="223"/>
    </row>
    <row r="111" spans="1:14">
      <c r="A111" s="228" t="s">
        <v>449</v>
      </c>
      <c r="B111" s="229"/>
      <c r="C111" s="229"/>
      <c r="D111" s="229"/>
      <c r="E111" s="229"/>
      <c r="F111" s="229"/>
      <c r="G111" s="229"/>
      <c r="H111" s="230"/>
      <c r="I111" s="223"/>
      <c r="J111" s="223"/>
    </row>
    <row r="112" spans="1:14">
      <c r="A112" s="231" t="s">
        <v>459</v>
      </c>
      <c r="B112" s="232" t="s">
        <v>458</v>
      </c>
      <c r="C112" s="244">
        <v>180.06400000000019</v>
      </c>
      <c r="D112" s="244">
        <v>136.76400000000012</v>
      </c>
      <c r="E112" s="244">
        <v>92.152000000000157</v>
      </c>
      <c r="F112" s="244">
        <v>48.176000000000045</v>
      </c>
      <c r="G112" s="244">
        <v>4.1323999999999614</v>
      </c>
      <c r="H112" s="233"/>
      <c r="I112" s="223"/>
      <c r="J112" s="223"/>
    </row>
    <row r="113" spans="1:10">
      <c r="A113" s="223"/>
      <c r="B113" s="223"/>
      <c r="C113" s="223"/>
      <c r="D113" s="223"/>
      <c r="E113" s="223"/>
      <c r="F113" s="223"/>
      <c r="G113" s="223"/>
      <c r="H113" s="223"/>
      <c r="I113" s="223"/>
      <c r="J113" s="223"/>
    </row>
    <row r="114" spans="1:10">
      <c r="A114" s="223"/>
      <c r="B114" s="223"/>
      <c r="C114" s="223"/>
      <c r="D114" s="223"/>
      <c r="E114" s="223"/>
      <c r="F114" s="223"/>
      <c r="G114" s="223"/>
      <c r="H114" s="223"/>
      <c r="I114" s="223"/>
      <c r="J114" s="223"/>
    </row>
    <row r="115" spans="1:10">
      <c r="A115" s="223"/>
      <c r="B115" s="223"/>
      <c r="C115" s="223"/>
      <c r="D115" s="223"/>
      <c r="E115" s="223"/>
      <c r="F115" s="223"/>
      <c r="G115" s="223"/>
      <c r="H115" s="223"/>
      <c r="I115" s="223"/>
      <c r="J115" s="223"/>
    </row>
    <row r="116" spans="1:10">
      <c r="A116" s="223"/>
      <c r="B116" s="223"/>
      <c r="C116" s="223"/>
      <c r="D116" s="223"/>
      <c r="E116" s="223"/>
      <c r="F116" s="223"/>
      <c r="G116" s="223"/>
      <c r="H116" s="223"/>
      <c r="I116" s="223"/>
      <c r="J116" s="223"/>
    </row>
    <row r="117" spans="1:10">
      <c r="A117" s="223"/>
      <c r="B117" s="223"/>
      <c r="C117" s="223"/>
      <c r="D117" s="223"/>
      <c r="E117" s="223"/>
      <c r="F117" s="223"/>
      <c r="G117" s="223"/>
      <c r="H117" s="223"/>
      <c r="I117" s="223"/>
      <c r="J117" s="223"/>
    </row>
    <row r="118" spans="1:10">
      <c r="A118" s="223"/>
      <c r="B118" s="223"/>
      <c r="C118" s="223"/>
      <c r="D118" s="223"/>
      <c r="E118" s="223"/>
      <c r="F118" s="223"/>
      <c r="G118" s="223"/>
      <c r="H118" s="223"/>
      <c r="I118" s="223"/>
      <c r="J118" s="223"/>
    </row>
    <row r="119" spans="1:10">
      <c r="A119" s="223"/>
      <c r="B119" s="223"/>
      <c r="C119" s="223"/>
      <c r="D119" s="223"/>
      <c r="E119" s="223"/>
      <c r="F119" s="223"/>
      <c r="G119" s="223"/>
      <c r="H119" s="223"/>
      <c r="I119" s="223"/>
      <c r="J119" s="223"/>
    </row>
    <row r="120" spans="1:10">
      <c r="A120" s="223"/>
      <c r="B120" s="223"/>
      <c r="C120" s="223"/>
      <c r="D120" s="223"/>
      <c r="E120" s="223"/>
      <c r="F120" s="223"/>
      <c r="G120" s="223"/>
      <c r="H120" s="223"/>
      <c r="I120" s="223"/>
      <c r="J120" s="223"/>
    </row>
    <row r="121" spans="1:10">
      <c r="A121" s="223"/>
      <c r="B121" s="223"/>
      <c r="C121" s="223"/>
      <c r="D121" s="223"/>
      <c r="E121" s="223"/>
      <c r="F121" s="223"/>
      <c r="G121" s="223"/>
      <c r="H121" s="223"/>
      <c r="I121" s="223"/>
      <c r="J121" s="223"/>
    </row>
    <row r="122" spans="1:10">
      <c r="A122" s="223"/>
      <c r="B122" s="223"/>
      <c r="C122" s="223"/>
      <c r="D122" s="223"/>
      <c r="E122" s="223"/>
      <c r="F122" s="223"/>
      <c r="G122" s="223"/>
      <c r="H122" s="223"/>
      <c r="I122" s="223"/>
      <c r="J122" s="223"/>
    </row>
    <row r="123" spans="1:10">
      <c r="A123" s="223"/>
      <c r="B123" s="223"/>
      <c r="C123" s="223"/>
      <c r="D123" s="223"/>
      <c r="E123" s="223"/>
      <c r="F123" s="223"/>
      <c r="G123" s="223"/>
      <c r="H123" s="223"/>
      <c r="I123" s="223"/>
      <c r="J123" s="223"/>
    </row>
    <row r="124" spans="1:10">
      <c r="A124" s="223"/>
      <c r="B124" s="223"/>
      <c r="C124" s="223"/>
      <c r="D124" s="223"/>
      <c r="E124" s="223"/>
      <c r="F124" s="223"/>
      <c r="G124" s="223"/>
      <c r="H124" s="223"/>
      <c r="I124" s="223"/>
      <c r="J124" s="223"/>
    </row>
    <row r="125" spans="1:10">
      <c r="A125" s="223"/>
      <c r="B125" s="223"/>
      <c r="C125" s="223"/>
      <c r="D125" s="223"/>
      <c r="E125" s="223"/>
      <c r="F125" s="223"/>
      <c r="G125" s="223"/>
      <c r="H125" s="223"/>
      <c r="I125" s="223"/>
      <c r="J125" s="223"/>
    </row>
    <row r="126" spans="1:10">
      <c r="A126" s="223"/>
      <c r="B126" s="223"/>
      <c r="C126" s="223"/>
      <c r="D126" s="223"/>
      <c r="E126" s="223"/>
      <c r="F126" s="223"/>
      <c r="G126" s="223"/>
      <c r="H126" s="223"/>
      <c r="I126" s="223"/>
      <c r="J126" s="223"/>
    </row>
    <row r="127" spans="1:10">
      <c r="A127" s="223"/>
      <c r="B127" s="223"/>
      <c r="C127" s="223"/>
      <c r="D127" s="223"/>
      <c r="E127" s="223"/>
      <c r="F127" s="223"/>
      <c r="G127" s="223"/>
      <c r="H127" s="223"/>
      <c r="I127" s="223"/>
      <c r="J127" s="223"/>
    </row>
  </sheetData>
  <phoneticPr fontId="9" type="noConversion"/>
  <printOptions headings="1" gridLines="1"/>
  <pageMargins left="0.75" right="0.75" top="1" bottom="1" header="0.5" footer="0.5"/>
  <pageSetup scale="41" orientation="portrait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READ THIS FIRST </vt:lpstr>
      <vt:lpstr>IS-BS Model</vt:lpstr>
      <vt:lpstr>Flow Diagram</vt:lpstr>
      <vt:lpstr>Q1-FCF Valuation</vt:lpstr>
      <vt:lpstr>Q2-MM Valuation</vt:lpstr>
      <vt:lpstr>A1 Q1 SOLUTION</vt:lpstr>
      <vt:lpstr>A1 Q2 SOLUTION</vt:lpstr>
      <vt:lpstr>A2 Q1 SOLUTION</vt:lpstr>
      <vt:lpstr>A2 Q2 SOLUTION</vt:lpstr>
      <vt:lpstr>Optional Long Form</vt:lpstr>
    </vt:vector>
  </TitlesOfParts>
  <Company>Kellogg School of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Kellogg User</dc:creator>
  <cp:lastModifiedBy>user</cp:lastModifiedBy>
  <cp:lastPrinted>2009-10-22T01:47:14Z</cp:lastPrinted>
  <dcterms:created xsi:type="dcterms:W3CDTF">2009-01-31T21:46:02Z</dcterms:created>
  <dcterms:modified xsi:type="dcterms:W3CDTF">2015-04-17T00:23:52Z</dcterms:modified>
</cp:coreProperties>
</file>